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B5E9770E-95F0-435A-9AF6-26FAF1C4E3A0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85" i="1" l="1"/>
  <c r="Y185" i="1"/>
  <c r="X185" i="1"/>
  <c r="W185" i="1"/>
  <c r="Z184" i="1"/>
  <c r="X184" i="1"/>
  <c r="W184" i="1"/>
  <c r="Z183" i="1"/>
  <c r="X183" i="1"/>
  <c r="W183" i="1"/>
  <c r="Z182" i="1"/>
  <c r="X182" i="1"/>
  <c r="W182" i="1"/>
  <c r="Z181" i="1"/>
  <c r="X181" i="1"/>
  <c r="W181" i="1"/>
  <c r="Z180" i="1"/>
  <c r="Y180" i="1"/>
  <c r="X180" i="1"/>
  <c r="W180" i="1"/>
  <c r="Z179" i="1"/>
  <c r="Y179" i="1"/>
  <c r="X179" i="1"/>
  <c r="W179" i="1"/>
  <c r="Z178" i="1"/>
  <c r="Y178" i="1"/>
  <c r="X178" i="1"/>
  <c r="W178" i="1"/>
  <c r="Z177" i="1"/>
  <c r="X177" i="1"/>
  <c r="W177" i="1"/>
  <c r="Z176" i="1"/>
  <c r="X176" i="1"/>
  <c r="W176" i="1"/>
  <c r="Z175" i="1"/>
  <c r="X175" i="1"/>
  <c r="W175" i="1"/>
  <c r="Z174" i="1"/>
  <c r="X174" i="1"/>
  <c r="W174" i="1"/>
  <c r="Z173" i="1"/>
  <c r="X173" i="1"/>
  <c r="W173" i="1"/>
  <c r="Z172" i="1"/>
  <c r="Y172" i="1"/>
  <c r="X172" i="1"/>
  <c r="W172" i="1"/>
  <c r="Z171" i="1"/>
  <c r="Y171" i="1"/>
  <c r="X171" i="1"/>
  <c r="W171" i="1"/>
  <c r="Z170" i="1"/>
  <c r="Y170" i="1"/>
  <c r="X170" i="1"/>
  <c r="W170" i="1"/>
  <c r="Z169" i="1"/>
  <c r="Y169" i="1"/>
  <c r="X169" i="1"/>
  <c r="W169" i="1"/>
  <c r="Z168" i="1"/>
  <c r="Y168" i="1"/>
  <c r="X168" i="1"/>
  <c r="W168" i="1"/>
  <c r="Z167" i="1"/>
  <c r="Y167" i="1"/>
  <c r="X167" i="1"/>
  <c r="W167" i="1"/>
  <c r="Z166" i="1"/>
  <c r="Y166" i="1"/>
  <c r="X166" i="1"/>
  <c r="W166" i="1"/>
  <c r="Z165" i="1"/>
  <c r="Y165" i="1"/>
  <c r="X165" i="1"/>
  <c r="W165" i="1"/>
  <c r="Z164" i="1"/>
  <c r="Y164" i="1"/>
  <c r="X164" i="1"/>
  <c r="W164" i="1"/>
  <c r="Z163" i="1"/>
  <c r="Y163" i="1"/>
  <c r="X163" i="1"/>
  <c r="W163" i="1"/>
  <c r="Z162" i="1"/>
  <c r="Y162" i="1"/>
  <c r="X162" i="1"/>
  <c r="W162" i="1"/>
  <c r="Z161" i="1"/>
  <c r="Y161" i="1"/>
  <c r="X161" i="1"/>
  <c r="W161" i="1"/>
  <c r="Z160" i="1"/>
  <c r="Y160" i="1"/>
  <c r="X160" i="1"/>
  <c r="W160" i="1"/>
  <c r="Z159" i="1"/>
  <c r="Y159" i="1"/>
  <c r="X159" i="1"/>
  <c r="W159" i="1"/>
  <c r="Z158" i="1"/>
  <c r="Y158" i="1"/>
  <c r="X158" i="1"/>
  <c r="W158" i="1"/>
  <c r="X157" i="1"/>
  <c r="W157" i="1"/>
  <c r="Z156" i="1"/>
  <c r="Y156" i="1"/>
  <c r="X156" i="1"/>
  <c r="W156" i="1"/>
  <c r="Z155" i="1"/>
  <c r="X155" i="1"/>
  <c r="W155" i="1"/>
  <c r="Z154" i="1"/>
  <c r="X154" i="1"/>
  <c r="W154" i="1"/>
  <c r="Z153" i="1"/>
  <c r="Y153" i="1"/>
  <c r="X153" i="1"/>
  <c r="W153" i="1"/>
  <c r="Z152" i="1"/>
  <c r="X152" i="1"/>
  <c r="W152" i="1"/>
  <c r="Z151" i="1"/>
  <c r="Y151" i="1"/>
  <c r="X151" i="1"/>
  <c r="W151" i="1"/>
  <c r="Z150" i="1"/>
  <c r="X150" i="1"/>
  <c r="W150" i="1"/>
  <c r="Z149" i="1"/>
  <c r="X149" i="1"/>
  <c r="W149" i="1"/>
  <c r="Y148" i="1"/>
  <c r="X148" i="1"/>
  <c r="W148" i="1"/>
  <c r="Y147" i="1"/>
  <c r="X147" i="1"/>
  <c r="W147" i="1"/>
  <c r="Y146" i="1"/>
  <c r="X146" i="1"/>
  <c r="W146" i="1"/>
  <c r="Y145" i="1"/>
  <c r="X145" i="1"/>
  <c r="W145" i="1"/>
  <c r="W144" i="1"/>
  <c r="Y143" i="1"/>
  <c r="X143" i="1"/>
  <c r="W143" i="1"/>
  <c r="W142" i="1"/>
  <c r="X141" i="1"/>
  <c r="W141" i="1"/>
  <c r="X140" i="1"/>
  <c r="W140" i="1"/>
  <c r="Y139" i="1"/>
  <c r="X139" i="1"/>
  <c r="W139" i="1"/>
  <c r="Y138" i="1"/>
  <c r="X138" i="1"/>
  <c r="W138" i="1"/>
  <c r="Y137" i="1"/>
  <c r="X137" i="1"/>
  <c r="W137" i="1"/>
  <c r="W136" i="1"/>
  <c r="W135" i="1"/>
  <c r="W134" i="1"/>
  <c r="W133" i="1"/>
  <c r="W132" i="1"/>
  <c r="W131" i="1"/>
  <c r="W130" i="1"/>
  <c r="Y129" i="1"/>
  <c r="X129" i="1"/>
  <c r="W129" i="1"/>
  <c r="Y128" i="1"/>
  <c r="X128" i="1"/>
  <c r="W128" i="1"/>
  <c r="Y127" i="1"/>
  <c r="X127" i="1"/>
  <c r="W127" i="1"/>
  <c r="W126" i="1"/>
  <c r="W125" i="1"/>
  <c r="W124" i="1"/>
  <c r="W123" i="1"/>
  <c r="Y122" i="1"/>
  <c r="X122" i="1"/>
  <c r="W122" i="1"/>
  <c r="Y121" i="1"/>
  <c r="X121" i="1"/>
  <c r="W121" i="1"/>
  <c r="Y120" i="1"/>
  <c r="X120" i="1"/>
  <c r="W120" i="1"/>
  <c r="W119" i="1"/>
  <c r="W118" i="1"/>
  <c r="W117" i="1"/>
  <c r="X116" i="1"/>
  <c r="W116" i="1"/>
  <c r="Z115" i="1"/>
  <c r="Y115" i="1"/>
  <c r="X115" i="1"/>
  <c r="W115" i="1"/>
  <c r="Y114" i="1"/>
  <c r="X114" i="1"/>
  <c r="W114" i="1"/>
  <c r="Y113" i="1"/>
  <c r="X113" i="1"/>
  <c r="W113" i="1"/>
  <c r="Y112" i="1"/>
  <c r="X112" i="1"/>
  <c r="W112" i="1"/>
  <c r="Y111" i="1"/>
  <c r="X111" i="1"/>
  <c r="W111" i="1"/>
  <c r="Y110" i="1"/>
  <c r="X110" i="1"/>
  <c r="W110" i="1"/>
  <c r="Y109" i="1"/>
  <c r="X109" i="1"/>
  <c r="W109" i="1"/>
  <c r="W108" i="1"/>
  <c r="W107" i="1"/>
  <c r="W106" i="1"/>
  <c r="W105" i="1"/>
  <c r="W104" i="1"/>
  <c r="Y103" i="1"/>
  <c r="X103" i="1"/>
  <c r="W103" i="1"/>
  <c r="W102" i="1"/>
  <c r="W101" i="1"/>
  <c r="Y100" i="1"/>
  <c r="W100" i="1"/>
  <c r="Y99" i="1"/>
  <c r="X99" i="1"/>
  <c r="W99" i="1"/>
  <c r="Y98" i="1"/>
  <c r="X98" i="1"/>
  <c r="W98" i="1"/>
  <c r="W97" i="1"/>
  <c r="W96" i="1"/>
  <c r="W95" i="1"/>
  <c r="W94" i="1"/>
  <c r="W93" i="1"/>
  <c r="W92" i="1"/>
  <c r="W91" i="1"/>
  <c r="Y90" i="1"/>
  <c r="X90" i="1"/>
  <c r="W90" i="1"/>
  <c r="W89" i="1"/>
  <c r="W88" i="1"/>
  <c r="Y87" i="1"/>
  <c r="X87" i="1"/>
  <c r="W87" i="1"/>
  <c r="Y86" i="1"/>
  <c r="X86" i="1"/>
  <c r="W86" i="1"/>
  <c r="Y85" i="1"/>
  <c r="X85" i="1"/>
  <c r="W85" i="1"/>
  <c r="Y84" i="1"/>
  <c r="X84" i="1"/>
  <c r="W84" i="1"/>
  <c r="Y83" i="1"/>
  <c r="W83" i="1"/>
  <c r="W82" i="1"/>
  <c r="W81" i="1"/>
  <c r="W80" i="1"/>
  <c r="W79" i="1"/>
  <c r="W78" i="1"/>
  <c r="Y77" i="1"/>
  <c r="W77" i="1"/>
  <c r="W76" i="1"/>
  <c r="Y75" i="1"/>
  <c r="X75" i="1"/>
  <c r="W75" i="1"/>
  <c r="Y74" i="1"/>
  <c r="X74" i="1"/>
  <c r="W74" i="1"/>
  <c r="W73" i="1"/>
  <c r="W72" i="1"/>
  <c r="W71" i="1"/>
  <c r="Y70" i="1"/>
  <c r="X70" i="1"/>
  <c r="W70" i="1"/>
  <c r="W69" i="1"/>
  <c r="W68" i="1"/>
  <c r="Y67" i="1"/>
  <c r="X67" i="1"/>
  <c r="W67" i="1"/>
  <c r="W66" i="1"/>
  <c r="W65" i="1"/>
  <c r="W64" i="1"/>
  <c r="W63" i="1"/>
  <c r="Y62" i="1"/>
  <c r="X62" i="1"/>
  <c r="W62" i="1"/>
  <c r="Y61" i="1"/>
  <c r="X61" i="1"/>
  <c r="W61" i="1"/>
  <c r="Y60" i="1"/>
  <c r="X60" i="1"/>
  <c r="W60" i="1"/>
  <c r="Y59" i="1"/>
  <c r="X59" i="1"/>
  <c r="W59" i="1"/>
  <c r="Y58" i="1"/>
  <c r="X58" i="1"/>
  <c r="W58" i="1"/>
  <c r="W57" i="1"/>
  <c r="W56" i="1"/>
  <c r="W55" i="1"/>
  <c r="W54" i="1"/>
  <c r="W53" i="1"/>
  <c r="Y52" i="1"/>
  <c r="X52" i="1"/>
  <c r="W52" i="1"/>
  <c r="Y51" i="1"/>
  <c r="X51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Y34" i="1"/>
  <c r="W34" i="1"/>
  <c r="Y33" i="1"/>
  <c r="W33" i="1"/>
  <c r="Y32" i="1"/>
  <c r="W32" i="1"/>
  <c r="W31" i="1"/>
  <c r="Y30" i="1"/>
  <c r="W30" i="1"/>
  <c r="Y29" i="1"/>
  <c r="W29" i="1"/>
  <c r="W28" i="1"/>
  <c r="W27" i="1"/>
  <c r="W26" i="1"/>
  <c r="W25" i="1"/>
  <c r="W24" i="1"/>
  <c r="X23" i="1"/>
  <c r="W23" i="1"/>
  <c r="Y22" i="1"/>
  <c r="X22" i="1"/>
  <c r="W22" i="1"/>
  <c r="W21" i="1"/>
  <c r="W20" i="1"/>
  <c r="W19" i="1"/>
  <c r="W18" i="1"/>
  <c r="W17" i="1"/>
  <c r="W16" i="1"/>
  <c r="W15" i="1"/>
  <c r="X14" i="1"/>
  <c r="W14" i="1"/>
  <c r="X13" i="1"/>
  <c r="W13" i="1"/>
  <c r="X12" i="1"/>
  <c r="W12" i="1"/>
  <c r="W11" i="1"/>
  <c r="X10" i="1"/>
  <c r="W10" i="1"/>
  <c r="X9" i="1"/>
  <c r="W9" i="1"/>
</calcChain>
</file>

<file path=xl/sharedStrings.xml><?xml version="1.0" encoding="utf-8"?>
<sst xmlns="http://schemas.openxmlformats.org/spreadsheetml/2006/main" count="4328" uniqueCount="564">
  <si>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</si>
  <si>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</si>
  <si>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</si>
  <si>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</si>
  <si>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</si>
  <si>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</si>
  <si>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</si>
  <si>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</si>
  <si>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</si>
  <si>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</si>
  <si>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</si>
  <si>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</si>
  <si>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</si>
  <si>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</si>
  <si>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</si>
  <si>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</si>
  <si>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</si>
  <si>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</si>
  <si>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</si>
  <si>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</si>
  <si>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</si>
  <si>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</si>
  <si>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</si>
  <si>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</si>
  <si>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</si>
  <si>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</si>
  <si>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</si>
  <si>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</si>
  <si>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</si>
  <si>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</si>
  <si>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</si>
  <si>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</si>
  <si>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0020032</t>
  </si>
  <si>
    <t>BILIT</t>
  </si>
  <si>
    <t>Bilirubin, Total, Serum or Plasma</t>
  </si>
  <si>
    <t>x</t>
  </si>
  <si>
    <t>0020183</t>
  </si>
  <si>
    <t>FL UN</t>
  </si>
  <si>
    <t>Urea Nitrogen, Fluid</t>
  </si>
  <si>
    <t>0020284</t>
  </si>
  <si>
    <t>HIV WBLOT</t>
  </si>
  <si>
    <t>Human Immunodeficiency Virus Type 1 (HIV-1) Antibody Confirmation by Western Blot (Test on delay as of 6/1/2023)</t>
  </si>
  <si>
    <t>0020408</t>
  </si>
  <si>
    <t>CMP</t>
  </si>
  <si>
    <t>Comprehensive Metabolic Panel</t>
  </si>
  <si>
    <t>0020416</t>
  </si>
  <si>
    <t>HEPATIC</t>
  </si>
  <si>
    <t>Hepatic Function Panel</t>
  </si>
  <si>
    <t>0020426</t>
  </si>
  <si>
    <t>BILI</t>
  </si>
  <si>
    <t>Bilirubin, Direct and Total, Serum or Plasma</t>
  </si>
  <si>
    <t>0020468</t>
  </si>
  <si>
    <t>CRISK E</t>
  </si>
  <si>
    <t>Lipid Panel, Extended</t>
  </si>
  <si>
    <t>0020471</t>
  </si>
  <si>
    <t>UAMY</t>
  </si>
  <si>
    <t>Amylase, Urine(Change effective as of 08/21/23: Refer to 3016646)</t>
  </si>
  <si>
    <t>0020476</t>
  </si>
  <si>
    <t>UGLU</t>
  </si>
  <si>
    <t>Glucose, Urine(Change effective as of 08/21/23: Refer to 3016649)</t>
  </si>
  <si>
    <t>0020509</t>
  </si>
  <si>
    <t>CRT-FL</t>
  </si>
  <si>
    <t>Creatinine, Body Fluid(Change effective as of 08/21/23: Refer to 3016598)</t>
  </si>
  <si>
    <t>0020514</t>
  </si>
  <si>
    <t>CFP</t>
  </si>
  <si>
    <t>Protein, Total, CSF(Change effective as of 08/21/23: Refer to 3016604)</t>
  </si>
  <si>
    <t>0020515</t>
  </si>
  <si>
    <t>GLU-CF</t>
  </si>
  <si>
    <t>Glucose, CSF(Change effective as of 08/21/23: Refer to 3016614)</t>
  </si>
  <si>
    <t>0020694</t>
  </si>
  <si>
    <t>CU-LIVER</t>
  </si>
  <si>
    <t>Copper, Liver</t>
  </si>
  <si>
    <t>0020734</t>
  </si>
  <si>
    <t>AS UF</t>
  </si>
  <si>
    <t>Arsenic, Fractionated, Urine</t>
  </si>
  <si>
    <t>0023107</t>
  </si>
  <si>
    <t>GENHLTH</t>
  </si>
  <si>
    <t>General Health Panel</t>
  </si>
  <si>
    <t>0028250</t>
  </si>
  <si>
    <t>FE LIVER</t>
  </si>
  <si>
    <t>Iron, Liver</t>
  </si>
  <si>
    <t>0050028</t>
  </si>
  <si>
    <t>APO B/A</t>
  </si>
  <si>
    <t>Apolipoprotein B/A Ratio</t>
  </si>
  <si>
    <t>0050029</t>
  </si>
  <si>
    <t>APO B-100</t>
  </si>
  <si>
    <t>Apolipoprotein B</t>
  </si>
  <si>
    <t>0050030</t>
  </si>
  <si>
    <t>APO A-1</t>
  </si>
  <si>
    <t>Apolipoprotein A-1</t>
  </si>
  <si>
    <t>0050065</t>
  </si>
  <si>
    <t>AMA</t>
  </si>
  <si>
    <t>Mitochondrial M2 Antibody, IgG (ELISA)</t>
  </si>
  <si>
    <t>0050095</t>
  </si>
  <si>
    <t>ASO</t>
  </si>
  <si>
    <t>Streptolysin O Antibody (ASO)</t>
  </si>
  <si>
    <t>0050220</t>
  </si>
  <si>
    <t>DNSB</t>
  </si>
  <si>
    <t>DNase-B Antibody</t>
  </si>
  <si>
    <t>0050520</t>
  </si>
  <si>
    <t>SCKL</t>
  </si>
  <si>
    <t>Hemoglobin S, Evaluation with Reflex to RBC Solubility  (Change effective as of 08/21/23: Refer to 3016616 in the August Hotline)</t>
  </si>
  <si>
    <t>0050725</t>
  </si>
  <si>
    <t>PNEUMO AB</t>
  </si>
  <si>
    <t>Streptococcus pneumoniae Antibodies, IgG (14 Serotypes)</t>
  </si>
  <si>
    <t>0050980</t>
  </si>
  <si>
    <t>HUMPAN I</t>
  </si>
  <si>
    <t>Humoral Immunity Panel I</t>
  </si>
  <si>
    <t>0050981</t>
  </si>
  <si>
    <t>HUMPAN II</t>
  </si>
  <si>
    <t>Humoral Immunity Panel II</t>
  </si>
  <si>
    <t>0051368</t>
  </si>
  <si>
    <t>RHD</t>
  </si>
  <si>
    <t>RhD Gene (RHD) Copy Number</t>
  </si>
  <si>
    <t>0051726</t>
  </si>
  <si>
    <t>LEISH IGG</t>
  </si>
  <si>
    <t>Leishmania Antibody, IgG (Visceral Leishmaniasis)</t>
  </si>
  <si>
    <t>0055256</t>
  </si>
  <si>
    <t>CCP IGG</t>
  </si>
  <si>
    <t>Cyclic Citrullinated Peptide (CCP) Antibody, IgG (Change effective as of 08/21/23: Refer to 3016632 in the August Hotline)</t>
  </si>
  <si>
    <t>0055567</t>
  </si>
  <si>
    <t>T CELL-F</t>
  </si>
  <si>
    <t>T-Cell Clonality Screening by PCR</t>
  </si>
  <si>
    <t>0060193</t>
  </si>
  <si>
    <t>MA NOC</t>
  </si>
  <si>
    <t>Antimicrobial Susceptibility - Nocardia</t>
  </si>
  <si>
    <t>0060200</t>
  </si>
  <si>
    <t>MA SENS</t>
  </si>
  <si>
    <t>Antimicrobial Susceptibility - Not Otherwise Specified</t>
  </si>
  <si>
    <t>0060201</t>
  </si>
  <si>
    <t>MA MIC</t>
  </si>
  <si>
    <t>Antimicrobial Susceptibility - MIC, Individual</t>
  </si>
  <si>
    <t>0060202</t>
  </si>
  <si>
    <t>MA ANA</t>
  </si>
  <si>
    <t>Antimicrobial Susceptibility - Anaerobe</t>
  </si>
  <si>
    <t>0060222</t>
  </si>
  <si>
    <t>MA VIRS</t>
  </si>
  <si>
    <t>Antimicrobial Susceptibility - Viridans Streptococcus</t>
  </si>
  <si>
    <t>0060345</t>
  </si>
  <si>
    <t>MA FAST</t>
  </si>
  <si>
    <t>Antimicrobial Susceptibility - Fastidious Organism</t>
  </si>
  <si>
    <t>0060346</t>
  </si>
  <si>
    <t>MA GPR</t>
  </si>
  <si>
    <t>Antimicrobial Susceptibility - Gram Positive Rod</t>
  </si>
  <si>
    <t>0060706</t>
  </si>
  <si>
    <t>MA ENTER</t>
  </si>
  <si>
    <t>Antimicrobial Susceptibility - Enterobacteriaceae</t>
  </si>
  <si>
    <t>0060708</t>
  </si>
  <si>
    <t>MA ENTERO</t>
  </si>
  <si>
    <t>Antimicrobial Susceptibility - Enterococcus</t>
  </si>
  <si>
    <t>0070025</t>
  </si>
  <si>
    <t>BHCG QNT</t>
  </si>
  <si>
    <t>Beta-hCG, Serum Quantitative(Change effective as of 08/21/23: Refer to 3016579 in the August Hotline)</t>
  </si>
  <si>
    <t>0070112</t>
  </si>
  <si>
    <t>PROINS</t>
  </si>
  <si>
    <t>Proinsulin, Intact</t>
  </si>
  <si>
    <t>0070256</t>
  </si>
  <si>
    <t>PRO INS</t>
  </si>
  <si>
    <t>Proinsulin, Intact/Insulin Ratio</t>
  </si>
  <si>
    <t>0090266</t>
  </si>
  <si>
    <t>IGG EPI AB</t>
  </si>
  <si>
    <t>Cell Surface (Epithelial) Antibodies, IgG by IIF</t>
  </si>
  <si>
    <t>0090299</t>
  </si>
  <si>
    <t>EPITHELIAL</t>
  </si>
  <si>
    <t>Basement Membrane Zone and Cell Surface (Epithelial) Antibodies, IgG and IgA by IIF</t>
  </si>
  <si>
    <t>0090448</t>
  </si>
  <si>
    <t>CDTI7</t>
  </si>
  <si>
    <t>Drugs of Abuse 7 Panel, Urine - Screen Only(Change effective as of 08/21/23: Refer to 0092184)</t>
  </si>
  <si>
    <t>0090449</t>
  </si>
  <si>
    <t>CDTI7A</t>
  </si>
  <si>
    <t>Drugs of Abuse 7A Panel, Urine - Screen Only(Change effective as of 08/21/23: Refer to 0092185)</t>
  </si>
  <si>
    <t>0090453</t>
  </si>
  <si>
    <t>CDTI9</t>
  </si>
  <si>
    <t>Drugs of Abuse 9 Panel, Urine - Screen Only(Change effective as of 08/21/23: Refer to 0092186)</t>
  </si>
  <si>
    <t>0090454</t>
  </si>
  <si>
    <t>CDTI9A</t>
  </si>
  <si>
    <t>Drugs of Abuse 9A Panel, Urine - Screen Only(Change effective as of 08/21/23: Refer to 0092187)</t>
  </si>
  <si>
    <t>0090518</t>
  </si>
  <si>
    <t>ETOH URN</t>
  </si>
  <si>
    <t>Ethanol, Urine, Qualitative - Medical(Change effective as of 08/21/23: Refer to 0092280)</t>
  </si>
  <si>
    <t>0092056</t>
  </si>
  <si>
    <t>EBMZ IGG</t>
  </si>
  <si>
    <t>Basement Membrane Zone (Epithelial) Antibodies, IgG by IIF</t>
  </si>
  <si>
    <t>0092057</t>
  </si>
  <si>
    <t>EBMZ IGA</t>
  </si>
  <si>
    <t>Basement Membrane Zone (Epithelial) Antibodies, IgA by IIF</t>
  </si>
  <si>
    <t>0092106</t>
  </si>
  <si>
    <t>IGA PEMPHI</t>
  </si>
  <si>
    <t>Pemphigus Antibodies, IgA by IIF</t>
  </si>
  <si>
    <t>0092107</t>
  </si>
  <si>
    <t>PARA PEMPH</t>
  </si>
  <si>
    <t>Paraneoplastic Pemphigus (Paraneoplastic Autoimmune Multiorgan Syndrome) Screening Antibodies by IIF</t>
  </si>
  <si>
    <t>0092283</t>
  </si>
  <si>
    <t>HG FACTOR</t>
  </si>
  <si>
    <t>Pemphigoid Gestationis, Complement-Fixing Basement Membrane Antibodies (Herpes Gestationis Factor)</t>
  </si>
  <si>
    <t>0094030</t>
  </si>
  <si>
    <t>FELBAMA</t>
  </si>
  <si>
    <t>Felbamate</t>
  </si>
  <si>
    <t>0097709</t>
  </si>
  <si>
    <t>TTG</t>
  </si>
  <si>
    <t>Tissue Transglutaminase (tTG) Antibody, IgA</t>
  </si>
  <si>
    <t>2000183</t>
  </si>
  <si>
    <t>BT REQUEST</t>
  </si>
  <si>
    <t>Bladder Tumor Associated Antigen (Inactive as of 08/21/23)</t>
  </si>
  <si>
    <t>2001743</t>
  </si>
  <si>
    <t>FHGB</t>
  </si>
  <si>
    <t>Fetal Hemoglobin Determination for Fetomaternal Hemorrhage</t>
  </si>
  <si>
    <t>2003128</t>
  </si>
  <si>
    <t>TAPENTA UR</t>
  </si>
  <si>
    <t>Tapentadol, Urine, Quantitative</t>
  </si>
  <si>
    <t>2003176</t>
  </si>
  <si>
    <t>RUFIN SP</t>
  </si>
  <si>
    <t>Rufinamide, Serum or Plasma</t>
  </si>
  <si>
    <t>2003182</t>
  </si>
  <si>
    <t>LACOSA SP</t>
  </si>
  <si>
    <t>Lacosamide, Serum or Plasma</t>
  </si>
  <si>
    <t>2004221</t>
  </si>
  <si>
    <t>NMDA IGG</t>
  </si>
  <si>
    <t>N-methyl-D-Aspartate Receptor Antibody, IgG by CBA-IFA, Serum with Reflex to Titer</t>
  </si>
  <si>
    <t>2005016</t>
  </si>
  <si>
    <t>BCR MIN</t>
  </si>
  <si>
    <t>BCR-ABL1, Minor (p190), Quantitative</t>
  </si>
  <si>
    <t>2005096</t>
  </si>
  <si>
    <t>OPI SCR UR</t>
  </si>
  <si>
    <t>Opiates, Screen Only, Urine(Change effective as of 08/21/23: Refer to 2005093)</t>
  </si>
  <si>
    <t>2005103</t>
  </si>
  <si>
    <t>OXY SCR UR</t>
  </si>
  <si>
    <t>Oxycodone/Oxymorphone Screen Only, Urine(Change effective as of 08/21/23: Refer to 2005100)</t>
  </si>
  <si>
    <t>2005164</t>
  </si>
  <si>
    <t>NMDA G CSF</t>
  </si>
  <si>
    <t>N-methyl-D-Aspartate Receptor Antibody, IgG by CBA-IFA, CSF with Reflex to Titer</t>
  </si>
  <si>
    <t>2005373</t>
  </si>
  <si>
    <t>AH50</t>
  </si>
  <si>
    <t>Alternative Complement Pathway Activity (AH50)</t>
  </si>
  <si>
    <t>2005545</t>
  </si>
  <si>
    <t>MPL</t>
  </si>
  <si>
    <t>MPL Mutation Detection by Capillary Electrophoresis</t>
  </si>
  <si>
    <t>2005779</t>
  </si>
  <si>
    <t>PNEUMO 23</t>
  </si>
  <si>
    <t>Streptococcus pneumoniae Antibodies, IgG (23 Serotypes)</t>
  </si>
  <si>
    <t>2006193</t>
  </si>
  <si>
    <t>BCELL SCRN</t>
  </si>
  <si>
    <t>B-Cell Clonality Screening (IgH and IgK) by PCR</t>
  </si>
  <si>
    <t>2006332</t>
  </si>
  <si>
    <t>EXOME SEQ</t>
  </si>
  <si>
    <t>Exome Sequencing, Trio (Change effective as of 08/21/23: Refer to 3016583 in the August Hotline)</t>
  </si>
  <si>
    <t>2006336</t>
  </si>
  <si>
    <t>EXOSEQ PRO</t>
  </si>
  <si>
    <t>Exome Sequencing, Proband (Change effective as of 08/21/23: Refer to 3016583 in the August Hotline)</t>
  </si>
  <si>
    <t>2006340</t>
  </si>
  <si>
    <t>TRACKEXADD</t>
  </si>
  <si>
    <t>Exome Sequencing, Familial Control (Change effective as of 08/21/23: Refer to 3016583 in the August Hotline)</t>
  </si>
  <si>
    <t>2006621</t>
  </si>
  <si>
    <t>TOF SCR CD</t>
  </si>
  <si>
    <t>Drug Detection Panel, Umbilical Cord Tissue, Qualitative</t>
  </si>
  <si>
    <t>2008919</t>
  </si>
  <si>
    <t>PNEUMO 9</t>
  </si>
  <si>
    <t>Streptococcus pneumoniae Antibodies, IgG (9 Serotypes)</t>
  </si>
  <si>
    <t>2009452</t>
  </si>
  <si>
    <t>CASPR2 IGG</t>
  </si>
  <si>
    <t>Contactin-Associated Protein-2 Antibody, IgG by CBA-IFA with Reflex to Titer, Serum</t>
  </si>
  <si>
    <t>2009456</t>
  </si>
  <si>
    <t>LGI1 IGG</t>
  </si>
  <si>
    <t>Leucine-Rich, Glioma-Inactivated Protein 1 Antibody, IgG CBA-IFA with Reflex to Titer, Serum</t>
  </si>
  <si>
    <t>2009460</t>
  </si>
  <si>
    <t>LGI1CASPR2</t>
  </si>
  <si>
    <t>Leucine-Rich, Glioma-Inactivated Protein 1 Antibody, IgG CBA-IFA and Contactin-Associated Protein-2 Antibody, IgG CBA-IFA with Reflex to Titers, Serum</t>
  </si>
  <si>
    <t>2009463</t>
  </si>
  <si>
    <t>VGKC R</t>
  </si>
  <si>
    <t>Voltage-Gated Potassium Channel (VGKC) Antibody with Reflex to LGI1 and CASPR2 Screen and Titer, Serum</t>
  </si>
  <si>
    <t>2011117</t>
  </si>
  <si>
    <t>MYE NGS</t>
  </si>
  <si>
    <t>Myeloid Malignancies Mutation Panel by Next Generation Sequencing</t>
  </si>
  <si>
    <t>2011132</t>
  </si>
  <si>
    <t>FISH AML</t>
  </si>
  <si>
    <t>Acute Myeloid Leukemia Panel by FISH (Change effective as of 08/21/23: Refer to 3016654)</t>
  </si>
  <si>
    <t>2011699</t>
  </si>
  <si>
    <t>AQP4 CSF</t>
  </si>
  <si>
    <t>Aquaporin-4 Antibody, IgG by CBA-IFA, CSF with Reflex to Titer</t>
  </si>
  <si>
    <t>2012695</t>
  </si>
  <si>
    <t>ETG SCR UR</t>
  </si>
  <si>
    <t>Ethyl Glucuronide Screen Only, Urine(Change effective as of 08/21/23: Refer to 2007912)</t>
  </si>
  <si>
    <t>2012849</t>
  </si>
  <si>
    <t>RAPID SEQ</t>
  </si>
  <si>
    <t>Critically Ill Rapid Genetic Diagnosis Panel, ~5000 Genes (Inactive as of 8/21/2023)</t>
  </si>
  <si>
    <t>2012868</t>
  </si>
  <si>
    <t>EGFR T790M</t>
  </si>
  <si>
    <t>EGFR T790M Mutation Detection in Circulating Tumor DNA by Digital Droplet PCR (Inactive as of 08/21/23)</t>
  </si>
  <si>
    <t>2013107</t>
  </si>
  <si>
    <t>HIV AB SUP</t>
  </si>
  <si>
    <t>Human Immunodeficiency Virus Types 1 and 2 (HIV-1/2) Antibody Differentiation, Supplemental</t>
  </si>
  <si>
    <t>2013257</t>
  </si>
  <si>
    <t>HN CONSULT</t>
  </si>
  <si>
    <t>Consultation, Head and Neck</t>
  </si>
  <si>
    <t>2013262</t>
  </si>
  <si>
    <t>NP CONSULT</t>
  </si>
  <si>
    <t>Consultation, Neuropathology</t>
  </si>
  <si>
    <t>2013263</t>
  </si>
  <si>
    <t>SP CONSULT</t>
  </si>
  <si>
    <t>Consultation, Surgical Pathology</t>
  </si>
  <si>
    <t>2013320</t>
  </si>
  <si>
    <t>AQP4 SER</t>
  </si>
  <si>
    <t>Aquaporin-4 Antibody, IgG by CBA-IFA with Reflex to Titer, Serum</t>
  </si>
  <si>
    <t>2013327</t>
  </si>
  <si>
    <t>AQP4 R</t>
  </si>
  <si>
    <t>Aquaporin-4 Receptor Antibody by ELISA with Reflex to Aquaporin-4 Receptor Antibody, IgG by IFA</t>
  </si>
  <si>
    <t>2013433</t>
  </si>
  <si>
    <t>CLOZAP SP</t>
  </si>
  <si>
    <t>Clozapine and Metabolites, Serum or Plasma, Quantitative</t>
  </si>
  <si>
    <t>2013661</t>
  </si>
  <si>
    <t>CF VAR</t>
  </si>
  <si>
    <t>Cystic Fibrosis (CFTR) Expanded Variant Panel</t>
  </si>
  <si>
    <t>2013662</t>
  </si>
  <si>
    <t>CF VAR FE</t>
  </si>
  <si>
    <t>Cystic Fibrosis (CFTR) Expanded Variant Panel, Fetal</t>
  </si>
  <si>
    <t>2013956</t>
  </si>
  <si>
    <t>CV2.1 SCRN</t>
  </si>
  <si>
    <t>CV2.1 Antibody, IgG by CBA-IFA with Reflex to Titer, Serum</t>
  </si>
  <si>
    <t>2014277</t>
  </si>
  <si>
    <t>CARBAR PCR</t>
  </si>
  <si>
    <t>Antimicrobial Susceptibility - Carbapenemase Gene Detection by PCR</t>
  </si>
  <si>
    <t>2014484</t>
  </si>
  <si>
    <t>THIOPMETAB</t>
  </si>
  <si>
    <t>Thiopurine Metabolites by LC-MS/MS (Change effective as of 08/21/23: Refer to 3016503 in the August Hotline)</t>
  </si>
  <si>
    <t>3000193</t>
  </si>
  <si>
    <t>HPA GENO</t>
  </si>
  <si>
    <t>Platelet Antigen Genotyping Panel</t>
  </si>
  <si>
    <t>3000724</t>
  </si>
  <si>
    <t>B-ALL MRD</t>
  </si>
  <si>
    <t>B-Lymphoblastic Leukemia (B-ALL) Minimum Residual Disease Detection by Flow Cytometry</t>
  </si>
  <si>
    <t>3001053</t>
  </si>
  <si>
    <t>RBC GENO</t>
  </si>
  <si>
    <t>Red Blood Cell Antigen Genotyping</t>
  </si>
  <si>
    <t>3001257</t>
  </si>
  <si>
    <t>AMPA CSF</t>
  </si>
  <si>
    <t>Alpha-Amino-3-hydroxy-5-methyl-4-isoxazolepropionic Acid (AMPAR) Receptor Antibody, IgG by CBA-IFA with Reflex to Titer, CSF</t>
  </si>
  <si>
    <t>3001260</t>
  </si>
  <si>
    <t>AMPA SER</t>
  </si>
  <si>
    <t>Alpha-amino-3-hydroxy-5-methyl-4-isoxazolepropionic Acid (AMPA) Receptor Antibody, IgG by CBA-IFA with Reflex to Titer, Serum</t>
  </si>
  <si>
    <t>3001267</t>
  </si>
  <si>
    <t>GABA-B CSF</t>
  </si>
  <si>
    <t>Gamma Aminobutyric Acid Receptor, Type B (GABA-BR) Antibody, IgG by CBA-IFA with Reflex to Titer, CSF</t>
  </si>
  <si>
    <t>3001270</t>
  </si>
  <si>
    <t>GABA-B SER</t>
  </si>
  <si>
    <t>Gamma Aminobutyric Acid Receptor, Type B (GABA-BR) Antibody, IgG by CBA-IFA with Reflex to Titer, Serum</t>
  </si>
  <si>
    <t>3001277</t>
  </si>
  <si>
    <t>MOG SER</t>
  </si>
  <si>
    <t>Myelin Oligodendrocyte Glycoprotein (MOG) Antibody, IgG by CBA-IFA with Reflex to Titer, Serum</t>
  </si>
  <si>
    <t>3001283</t>
  </si>
  <si>
    <t>CNS PAN</t>
  </si>
  <si>
    <t>Autoimmune CNS Demyelinating Disease Reflexive Panel</t>
  </si>
  <si>
    <t>3001591</t>
  </si>
  <si>
    <t>EPI NGS</t>
  </si>
  <si>
    <t>Comprehensive Epilepsy Panel, Sequencing and Deletion/Duplication</t>
  </si>
  <si>
    <t>3001784</t>
  </si>
  <si>
    <t>ILD PANEL</t>
  </si>
  <si>
    <t>Interstitial Lung Disease Autoantibody Panel</t>
  </si>
  <si>
    <t>3001947</t>
  </si>
  <si>
    <t>SMR INTRP</t>
  </si>
  <si>
    <t>Blood Smear with Interpretation</t>
  </si>
  <si>
    <t>3001968</t>
  </si>
  <si>
    <t>KL6_SPD</t>
  </si>
  <si>
    <t>Interstitial Lung Disease (ILD) Biomarkers Panel (Change effective as of 08/21/23: Refer to 3001866)</t>
  </si>
  <si>
    <t>3001969</t>
  </si>
  <si>
    <t>SP-D</t>
  </si>
  <si>
    <t>Human Surfactant Protein D (SP-D) (Change effective as of 08/21/23: Refer to 3001866)</t>
  </si>
  <si>
    <t>3001986</t>
  </si>
  <si>
    <t>CASPR2GCSF</t>
  </si>
  <si>
    <t>Contactin-Associated Protein-2 Antibody, IgG by CBA-IFA with Reflex to Titer, CSF</t>
  </si>
  <si>
    <t>3001992</t>
  </si>
  <si>
    <t>LGI1IGGCSF</t>
  </si>
  <si>
    <t>Leucine-Rich, Glioma-Inactivated Protein 1 Antibody, IgG by CBA-IFA with Reflex to Titer, CSF</t>
  </si>
  <si>
    <t>3001996</t>
  </si>
  <si>
    <t>VGKCCSFPAN</t>
  </si>
  <si>
    <t>Voltage-Gated Potassium Channel (VGKC) Complex Antibody Panel with Reflex to Titer, CSF</t>
  </si>
  <si>
    <t>3002001</t>
  </si>
  <si>
    <t>KEL GENO</t>
  </si>
  <si>
    <t>Kell K/k (KEL) Antigen Genotyping</t>
  </si>
  <si>
    <t>3002002</t>
  </si>
  <si>
    <t>RHC GENO</t>
  </si>
  <si>
    <t>RhC/c (RHCE) Antigen Genotyping</t>
  </si>
  <si>
    <t>3002003</t>
  </si>
  <si>
    <t>RHE GENO</t>
  </si>
  <si>
    <t>RhE/e (RHCE) Antigen Genotyping</t>
  </si>
  <si>
    <t>3002069</t>
  </si>
  <si>
    <t>MM MRD</t>
  </si>
  <si>
    <t>Multiple Myeloma Minimum Residual Disease by Flow Cytometry</t>
  </si>
  <si>
    <t>3002257</t>
  </si>
  <si>
    <t>CV2.1 CSF</t>
  </si>
  <si>
    <t>CV2.1 Antibody, IgG by CBA-IFA with Reflex to Titer, CSF</t>
  </si>
  <si>
    <t>3002929</t>
  </si>
  <si>
    <t>PNS PAN2</t>
  </si>
  <si>
    <t>Paraneoplastic Reflexive Panel</t>
  </si>
  <si>
    <t>3003017</t>
  </si>
  <si>
    <t>MUWA R2</t>
  </si>
  <si>
    <t>Autoimmune Neuromuscular Junction Reflexive Panel</t>
  </si>
  <si>
    <t>3003142</t>
  </si>
  <si>
    <t>CLL MRD</t>
  </si>
  <si>
    <t>Chronic Lymphocytic Leukemia Minimum Residual Disease by Flow Cytometry</t>
  </si>
  <si>
    <t>3003253</t>
  </si>
  <si>
    <t>LYME PEP</t>
  </si>
  <si>
    <t>Borrelia burgdorferi VlsE1/pepC10 Antibodies, Total by ELISA (Change effective as of 08/21/23: Refer to 3006053, 3003254, 3003255)</t>
  </si>
  <si>
    <t>3003641</t>
  </si>
  <si>
    <t>MM MRDRFLX</t>
  </si>
  <si>
    <t>Multiple Myeloma Minimum Residual Disease by Flow Cytometry with Reflex to FISH</t>
  </si>
  <si>
    <t>3004055</t>
  </si>
  <si>
    <t>RA PANEL</t>
  </si>
  <si>
    <t>Rheumatoid Arthritis Panel (Change effective as of 08/21/23: Refer to 3016634 in the August Hotline)</t>
  </si>
  <si>
    <t>3004056</t>
  </si>
  <si>
    <t>RA PANEL R</t>
  </si>
  <si>
    <t>Rheumatoid Arthritis Panel with Reflex to Rheumatoid Factors, IgA, IgG, and IgM by ELISA (Change effective as of 08/21/23: Refer to 3016635 in the August Hotline)</t>
  </si>
  <si>
    <t>3004277</t>
  </si>
  <si>
    <t>MSIPCR</t>
  </si>
  <si>
    <t>Microsatellite Instability (MSI) HNPCC/Lynch Syndrome by PCR</t>
  </si>
  <si>
    <t>3004308</t>
  </si>
  <si>
    <t>MLH1 PCR</t>
  </si>
  <si>
    <t>MLH1 Promoter Methylation</t>
  </si>
  <si>
    <t>3004359</t>
  </si>
  <si>
    <t>DPPX SER</t>
  </si>
  <si>
    <t>Dipeptidyl Aminopeptidase-Like Protein 6 (DPPX) Antibody, IgG by CBA-IFA with Reflex to Titer, Serum</t>
  </si>
  <si>
    <t>3004512</t>
  </si>
  <si>
    <t>DPPX CSF</t>
  </si>
  <si>
    <t>Dipeptidyl Aminopeptidase-Like Protein 6 (DPPX) Antibody, IgG by CBA-IFA with Reflex to Titer, CSF</t>
  </si>
  <si>
    <t>3004517</t>
  </si>
  <si>
    <t>PNSPAN CSF</t>
  </si>
  <si>
    <t>Paraneoplastic Reflexive Panel, CSF</t>
  </si>
  <si>
    <t>3004583</t>
  </si>
  <si>
    <t>MEC PANEL</t>
  </si>
  <si>
    <t>Drug Detection Panel, Meconium, Qualitative</t>
  </si>
  <si>
    <t>3005939</t>
  </si>
  <si>
    <t>RWGS REA</t>
  </si>
  <si>
    <t>Whole Genome Reanalysis</t>
  </si>
  <si>
    <t>3005956</t>
  </si>
  <si>
    <t>MGMT METH</t>
  </si>
  <si>
    <t>MGMT Promoter Methylation Detection by ddPCR</t>
  </si>
  <si>
    <t>3005961</t>
  </si>
  <si>
    <t>C5 INH PAN</t>
  </si>
  <si>
    <t>C5 Inhibitors Drug Monitoring Panel</t>
  </si>
  <si>
    <t>3005996</t>
  </si>
  <si>
    <t>CHYLO RFLX</t>
  </si>
  <si>
    <t>Triglycerides Body Fluid with Reflex to Chylomicron Electrophoresis</t>
  </si>
  <si>
    <t>3006049</t>
  </si>
  <si>
    <t>AE CSF</t>
  </si>
  <si>
    <t>Autoimmune Encephalitis Reflex Panel, CSF</t>
  </si>
  <si>
    <t>3006050</t>
  </si>
  <si>
    <t>ENCEPHEXT2</t>
  </si>
  <si>
    <t>Autoimmune Encephalitis Extended Panel, Serum</t>
  </si>
  <si>
    <t>3006051</t>
  </si>
  <si>
    <t>NEURO R4</t>
  </si>
  <si>
    <t>Autoimmune Neurologic Disease Panel with Reflex, Serum</t>
  </si>
  <si>
    <t>3006052</t>
  </si>
  <si>
    <t>NEURORCSF2</t>
  </si>
  <si>
    <t>Autoimmune Neurologic Disease Panel with Reflex, CSF</t>
  </si>
  <si>
    <t>3006149</t>
  </si>
  <si>
    <t>BRAFIHC</t>
  </si>
  <si>
    <t>BRAF by Immunohistochemistry</t>
  </si>
  <si>
    <t>3006162</t>
  </si>
  <si>
    <t>IRF8 IHC</t>
  </si>
  <si>
    <t>IRF8 by Immunohistochemistry</t>
  </si>
  <si>
    <t>3006344</t>
  </si>
  <si>
    <t>MACRO PCR</t>
  </si>
  <si>
    <t>Mycoplasmoides genitalium Detection and Macrolide Resistance by PCR</t>
  </si>
  <si>
    <t>3006351</t>
  </si>
  <si>
    <t>CATHK IHC</t>
  </si>
  <si>
    <t>Cathepsin K by Immunohistochemistry</t>
  </si>
  <si>
    <t>3006357</t>
  </si>
  <si>
    <t>NR4A3 FISH</t>
  </si>
  <si>
    <t>NR4A3 Rearrangement by FISH</t>
  </si>
  <si>
    <t>3006366</t>
  </si>
  <si>
    <t>PGXPSYC GD</t>
  </si>
  <si>
    <t>Pharmacogenetics Panel: Psychotropics, with GeneDose Access</t>
  </si>
  <si>
    <t>3006367</t>
  </si>
  <si>
    <t>TICK PAN</t>
  </si>
  <si>
    <t>Tickborne Disease Antibodies Panel</t>
  </si>
  <si>
    <t>3006370</t>
  </si>
  <si>
    <t>CAURIS PCR</t>
  </si>
  <si>
    <t>Candida auris by PCR</t>
  </si>
  <si>
    <t>3006373</t>
  </si>
  <si>
    <t>M PAN_THC</t>
  </si>
  <si>
    <t>Drug Detection Panel and THC Metabolite, Meconium, Qualitative</t>
  </si>
  <si>
    <t>3006379</t>
  </si>
  <si>
    <t>HEPD AB QR</t>
  </si>
  <si>
    <t>Hepatitis Delta Virus Antibody by ELISA With Reflex to Hepatitis Delta Virus by Quantitative PCR</t>
  </si>
  <si>
    <t>3016457</t>
  </si>
  <si>
    <t>PFAP</t>
  </si>
  <si>
    <t>Pneumonia Panel by PCR</t>
  </si>
  <si>
    <t>3016493</t>
  </si>
  <si>
    <t>WGS NGS</t>
  </si>
  <si>
    <t>Whole Genome Sequencing</t>
  </si>
  <si>
    <t>3016497</t>
  </si>
  <si>
    <t>WGS FRPT</t>
  </si>
  <si>
    <t>Whole Genome Sequencing, Familial Control</t>
  </si>
  <si>
    <t>3016503</t>
  </si>
  <si>
    <t>THIOMET</t>
  </si>
  <si>
    <t>Thiopurine Metabolites in Red Blood Cells</t>
  </si>
  <si>
    <t>3016533</t>
  </si>
  <si>
    <t>ENVO IGG</t>
  </si>
  <si>
    <t>Envoplakin Antibody, IgG by ELISA</t>
  </si>
  <si>
    <t>3016534</t>
  </si>
  <si>
    <t>PNP PLUS</t>
  </si>
  <si>
    <t>Paraneoplastic Pemphigus (Paraneoplastic Autoimmune Multiorgan Syndrome) Expanded Antibody Panel by IIF With ELISA</t>
  </si>
  <si>
    <t>3016579</t>
  </si>
  <si>
    <t>QNT BHCG</t>
  </si>
  <si>
    <t>Beta-hCG, Quantitative (Pregnancy)</t>
  </si>
  <si>
    <t>3016583</t>
  </si>
  <si>
    <t>EXOME PRO</t>
  </si>
  <si>
    <t>Exome Sequencing</t>
  </si>
  <si>
    <t>3016589</t>
  </si>
  <si>
    <t>EXOME FRPT</t>
  </si>
  <si>
    <t>Exome Sequencing, Familial Control</t>
  </si>
  <si>
    <t>3016598</t>
  </si>
  <si>
    <t>BF CRT</t>
  </si>
  <si>
    <t>Body Fluid, Creatinine</t>
  </si>
  <si>
    <t>3016604</t>
  </si>
  <si>
    <t>CSF, Total Protein</t>
  </si>
  <si>
    <t>3016614</t>
  </si>
  <si>
    <t>CSF GLU</t>
  </si>
  <si>
    <t>CSF, Glucose</t>
  </si>
  <si>
    <t>3016616</t>
  </si>
  <si>
    <t>SCKLHB</t>
  </si>
  <si>
    <t>Hemoglobin S Evaluation with Reflex to RBC Solubility</t>
  </si>
  <si>
    <t>3016631</t>
  </si>
  <si>
    <t>HBV EXP</t>
  </si>
  <si>
    <t>HBV Exposure Panel</t>
  </si>
  <si>
    <t>3016632</t>
  </si>
  <si>
    <t>CCP IGGIGA</t>
  </si>
  <si>
    <t>Cyclic Citrullinated Peptide Antibody, IgG and IgA</t>
  </si>
  <si>
    <t>3016634</t>
  </si>
  <si>
    <t>RA PNL</t>
  </si>
  <si>
    <t>Rheumatoid Arthritis (RA) Panel</t>
  </si>
  <si>
    <t>3016635</t>
  </si>
  <si>
    <t>RA PNL R</t>
  </si>
  <si>
    <t>Rheumatoid Arthritis (RA) Panel with Refl ex to Rheumatoid Factors, IgA, IgG, and IgM by ELISA</t>
  </si>
  <si>
    <t>3016639</t>
  </si>
  <si>
    <t>RBCGENO FE</t>
  </si>
  <si>
    <t>Red Blood Cell Antigen Genotyping, Fetal</t>
  </si>
  <si>
    <t>3016640</t>
  </si>
  <si>
    <t>RHD FE</t>
  </si>
  <si>
    <t>RhD Gene (RHD) Copy Number, Fetal</t>
  </si>
  <si>
    <t>3016646</t>
  </si>
  <si>
    <t>URN AMY</t>
  </si>
  <si>
    <t>Urine, Amylase</t>
  </si>
  <si>
    <t>3016649</t>
  </si>
  <si>
    <t>URN GLU</t>
  </si>
  <si>
    <t>Urine, Glucose</t>
  </si>
  <si>
    <t>3016654</t>
  </si>
  <si>
    <t>FISHAML</t>
  </si>
  <si>
    <t>Acute Myeloid Leukemia Panel by FISH</t>
  </si>
  <si>
    <t>3016673</t>
  </si>
  <si>
    <t>HPAGENO FE</t>
  </si>
  <si>
    <t>Platelet Antigen Genotyping Panel, Fetal</t>
  </si>
  <si>
    <t>3016676</t>
  </si>
  <si>
    <t>KELGENO FE</t>
  </si>
  <si>
    <t>Kell K/k (KEL) Antigen Genotyping, Fetal</t>
  </si>
  <si>
    <t>3016679</t>
  </si>
  <si>
    <t>RHCGENO FE</t>
  </si>
  <si>
    <t>RhC/c (RHCE) Antigen Genotyping, Fetal</t>
  </si>
  <si>
    <t>3016682</t>
  </si>
  <si>
    <t>RHEGENO FE</t>
  </si>
  <si>
    <t>RhE/e (RHCE) Antigen Genotyping, Fetal</t>
  </si>
  <si>
    <t>3016687</t>
  </si>
  <si>
    <t>COCCI PCR</t>
  </si>
  <si>
    <t>Coccidioides by PCR</t>
  </si>
  <si>
    <t>Effective as of August 21,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</si>
</sst>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86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>
      <c r="A4" s="15" t="s">
        <v>563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30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35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16" t="str">
        <f>HYPERLINK("http://www.aruplab.com/Testing-Information/resources/HotLines/HotLineDocs/Aug2023QHL/0020032.pdf","H")</f>
        <v>H</v>
      </c>
      <c r="X9" s="16" t="str">
        <f>HYPERLINK("http://www.aruplab.com/Testing-Information/resources/HotLines/TDMix/Aug2023QHL/0020032.xlsx","T")</f>
        <v>T</v>
      </c>
      <c r="Y9" s="7" t="s">
        <v>0</v>
      </c>
      <c r="Z9" s="7" t="s">
        <v>0</v>
      </c>
      <c r="AA9" s="8">
        <v>45159</v>
      </c>
    </row>
    <row r="10" spans="1:27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35</v>
      </c>
      <c r="G10" s="7" t="s">
        <v>35</v>
      </c>
      <c r="H10" s="7" t="s">
        <v>0</v>
      </c>
      <c r="I10" s="7" t="s">
        <v>0</v>
      </c>
      <c r="J10" s="7" t="s">
        <v>35</v>
      </c>
      <c r="K10" s="7" t="s">
        <v>0</v>
      </c>
      <c r="L10" s="7" t="s">
        <v>0</v>
      </c>
      <c r="M10" s="7" t="s">
        <v>35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HYPERLINK("http://www.aruplab.com/Testing-Information/resources/HotLines/HotLineDocs/Aug2023QHL/0020183.pdf","H")</f>
        <v>H</v>
      </c>
      <c r="X10" s="16" t="str">
        <f>HYPERLINK("http://www.aruplab.com/Testing-Information/resources/HotLines/TDMix/Aug2023QHL/0020183.xlsx","T")</f>
        <v>T</v>
      </c>
      <c r="Y10" s="7" t="s">
        <v>0</v>
      </c>
      <c r="Z10" s="7" t="s">
        <v>0</v>
      </c>
      <c r="AA10" s="8">
        <v>45159</v>
      </c>
    </row>
    <row r="11" spans="1:27" ht="10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35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HYPERLINK("http://www.aruplab.com/Testing-Information/resources/HotLines/HotLineDocs/Aug2023QHL/0020284.pdf","H")</f>
        <v>H</v>
      </c>
      <c r="X11" s="7" t="s">
        <v>0</v>
      </c>
      <c r="Y11" s="7" t="s">
        <v>0</v>
      </c>
      <c r="Z11" s="7" t="s">
        <v>0</v>
      </c>
      <c r="AA11" s="8">
        <v>45159</v>
      </c>
    </row>
    <row r="12" spans="1:27" ht="30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0</v>
      </c>
      <c r="G12" s="7" t="s">
        <v>0</v>
      </c>
      <c r="H12" s="7" t="s">
        <v>0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35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16" t="str">
        <f>HYPERLINK("http://www.aruplab.com/Testing-Information/resources/HotLines/HotLineDocs/Aug2023QHL/0020408.pdf","H")</f>
        <v>H</v>
      </c>
      <c r="X12" s="16" t="str">
        <f>HYPERLINK("http://www.aruplab.com/Testing-Information/resources/HotLines/TDMix/Aug2023QHL/0020408.xlsx","T")</f>
        <v>T</v>
      </c>
      <c r="Y12" s="7" t="s">
        <v>0</v>
      </c>
      <c r="Z12" s="7" t="s">
        <v>0</v>
      </c>
      <c r="AA12" s="8">
        <v>45159</v>
      </c>
    </row>
    <row r="13" spans="1:27" ht="30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35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0</v>
      </c>
      <c r="W13" s="16" t="str">
        <f>HYPERLINK("http://www.aruplab.com/Testing-Information/resources/HotLines/HotLineDocs/Aug2023QHL/0020416.pdf","H")</f>
        <v>H</v>
      </c>
      <c r="X13" s="16" t="str">
        <f>HYPERLINK("http://www.aruplab.com/Testing-Information/resources/HotLines/TDMix/Aug2023QHL/0020416.xlsx","T")</f>
        <v>T</v>
      </c>
      <c r="Y13" s="7" t="s">
        <v>0</v>
      </c>
      <c r="Z13" s="7" t="s">
        <v>0</v>
      </c>
      <c r="AA13" s="8">
        <v>45159</v>
      </c>
    </row>
    <row r="14" spans="1:27" ht="45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35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16" t="str">
        <f>HYPERLINK("http://www.aruplab.com/Testing-Information/resources/HotLines/HotLineDocs/Aug2023QHL/0020426.pdf","H")</f>
        <v>H</v>
      </c>
      <c r="X14" s="16" t="str">
        <f>HYPERLINK("http://www.aruplab.com/Testing-Information/resources/HotLines/TDMix/Aug2023QHL/0020426.xlsx","T")</f>
        <v>T</v>
      </c>
      <c r="Y14" s="7" t="s">
        <v>0</v>
      </c>
      <c r="Z14" s="7" t="s">
        <v>0</v>
      </c>
      <c r="AA14" s="8">
        <v>45159</v>
      </c>
    </row>
    <row r="15" spans="1:27">
      <c r="A15" s="6" t="s">
        <v>51</v>
      </c>
      <c r="B15" s="6" t="s">
        <v>52</v>
      </c>
      <c r="C15" s="6" t="s">
        <v>53</v>
      </c>
      <c r="D15" s="7" t="s">
        <v>0</v>
      </c>
      <c r="E15" s="7" t="s">
        <v>0</v>
      </c>
      <c r="F15" s="7" t="s">
        <v>35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0</v>
      </c>
      <c r="V15" s="7" t="s">
        <v>0</v>
      </c>
      <c r="W15" s="16" t="str">
        <f>HYPERLINK("http://www.aruplab.com/Testing-Information/resources/HotLines/HotLineDocs/Aug2023QHL/0020468.pdf","H")</f>
        <v>H</v>
      </c>
      <c r="X15" s="7" t="s">
        <v>0</v>
      </c>
      <c r="Y15" s="7" t="s">
        <v>0</v>
      </c>
      <c r="Z15" s="7" t="s">
        <v>0</v>
      </c>
      <c r="AA15" s="8">
        <v>45159</v>
      </c>
    </row>
    <row r="16" spans="1:27" ht="75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35</v>
      </c>
      <c r="V16" s="7" t="s">
        <v>0</v>
      </c>
      <c r="W16" s="16" t="str">
        <f>HYPERLINK("http://www.aruplab.com/Testing-Information/resources/HotLines/HotLineDocs/Aug2023QHL/2023.07.07 Aug Quarterly Hotline Inactivations.pdf","H")</f>
        <v>H</v>
      </c>
      <c r="X16" s="7" t="s">
        <v>0</v>
      </c>
      <c r="Y16" s="7" t="s">
        <v>0</v>
      </c>
      <c r="Z16" s="7" t="s">
        <v>0</v>
      </c>
      <c r="AA16" s="8">
        <v>45159</v>
      </c>
    </row>
    <row r="17" spans="1:27" ht="75">
      <c r="A17" s="6" t="s">
        <v>57</v>
      </c>
      <c r="B17" s="6" t="s">
        <v>58</v>
      </c>
      <c r="C17" s="6" t="s">
        <v>59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35</v>
      </c>
      <c r="V17" s="7" t="s">
        <v>0</v>
      </c>
      <c r="W17" s="16" t="str">
        <f>HYPERLINK("http://www.aruplab.com/Testing-Information/resources/HotLines/HotLineDocs/Aug2023QHL/2023.07.07 Aug Quarterly Hotline Inactivations.pdf","H")</f>
        <v>H</v>
      </c>
      <c r="X17" s="7" t="s">
        <v>0</v>
      </c>
      <c r="Y17" s="7" t="s">
        <v>0</v>
      </c>
      <c r="Z17" s="7" t="s">
        <v>0</v>
      </c>
      <c r="AA17" s="8">
        <v>45159</v>
      </c>
    </row>
    <row r="18" spans="1:27" ht="60">
      <c r="A18" s="6" t="s">
        <v>60</v>
      </c>
      <c r="B18" s="6" t="s">
        <v>61</v>
      </c>
      <c r="C18" s="6" t="s">
        <v>62</v>
      </c>
      <c r="D18" s="7" t="s">
        <v>0</v>
      </c>
      <c r="E18" s="7" t="s">
        <v>0</v>
      </c>
      <c r="F18" s="7" t="s">
        <v>0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35</v>
      </c>
      <c r="V18" s="7" t="s">
        <v>0</v>
      </c>
      <c r="W18" s="16" t="str">
        <f>HYPERLINK("http://www.aruplab.com/Testing-Information/resources/HotLines/HotLineDocs/Aug2023QHL/2023.07.07 Aug Quarterly Hotline Inactivations.pdf","H")</f>
        <v>H</v>
      </c>
      <c r="X18" s="7" t="s">
        <v>0</v>
      </c>
      <c r="Y18" s="7" t="s">
        <v>0</v>
      </c>
      <c r="Z18" s="7" t="s">
        <v>0</v>
      </c>
      <c r="AA18" s="8">
        <v>45159</v>
      </c>
    </row>
    <row r="19" spans="1:27" ht="60">
      <c r="A19" s="6" t="s">
        <v>63</v>
      </c>
      <c r="B19" s="6" t="s">
        <v>64</v>
      </c>
      <c r="C19" s="6" t="s">
        <v>65</v>
      </c>
      <c r="D19" s="7" t="s">
        <v>0</v>
      </c>
      <c r="E19" s="7" t="s">
        <v>0</v>
      </c>
      <c r="F19" s="7" t="s">
        <v>0</v>
      </c>
      <c r="G19" s="7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35</v>
      </c>
      <c r="V19" s="7" t="s">
        <v>0</v>
      </c>
      <c r="W19" s="16" t="str">
        <f>HYPERLINK("http://www.aruplab.com/Testing-Information/resources/HotLines/HotLineDocs/Aug2023QHL/2023.07.07 Aug Quarterly Hotline Inactivations.pdf","H")</f>
        <v>H</v>
      </c>
      <c r="X19" s="7" t="s">
        <v>0</v>
      </c>
      <c r="Y19" s="7" t="s">
        <v>0</v>
      </c>
      <c r="Z19" s="7" t="s">
        <v>0</v>
      </c>
      <c r="AA19" s="8">
        <v>45159</v>
      </c>
    </row>
    <row r="20" spans="1:27" ht="60">
      <c r="A20" s="6" t="s">
        <v>66</v>
      </c>
      <c r="B20" s="6" t="s">
        <v>67</v>
      </c>
      <c r="C20" s="6" t="s">
        <v>68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35</v>
      </c>
      <c r="V20" s="7" t="s">
        <v>0</v>
      </c>
      <c r="W20" s="16" t="str">
        <f>HYPERLINK("http://www.aruplab.com/Testing-Information/resources/HotLines/HotLineDocs/Aug2023QHL/2023.07.07 Aug Quarterly Hotline Inactivations.pdf","H")</f>
        <v>H</v>
      </c>
      <c r="X20" s="7" t="s">
        <v>0</v>
      </c>
      <c r="Y20" s="7" t="s">
        <v>0</v>
      </c>
      <c r="Z20" s="7" t="s">
        <v>0</v>
      </c>
      <c r="AA20" s="8">
        <v>45159</v>
      </c>
    </row>
    <row r="21" spans="1:27">
      <c r="A21" s="6" t="s">
        <v>69</v>
      </c>
      <c r="B21" s="6" t="s">
        <v>70</v>
      </c>
      <c r="C21" s="6" t="s">
        <v>71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35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 t="s">
        <v>0</v>
      </c>
      <c r="V21" s="7" t="s">
        <v>0</v>
      </c>
      <c r="W21" s="16" t="str">
        <f>HYPERLINK("http://www.aruplab.com/Testing-Information/resources/HotLines/HotLineDocs/Aug2023QHL/0020694.pdf","H")</f>
        <v>H</v>
      </c>
      <c r="X21" s="7" t="s">
        <v>0</v>
      </c>
      <c r="Y21" s="7" t="s">
        <v>0</v>
      </c>
      <c r="Z21" s="7" t="s">
        <v>0</v>
      </c>
      <c r="AA21" s="8">
        <v>45159</v>
      </c>
    </row>
    <row r="22" spans="1:27" ht="30">
      <c r="A22" s="6" t="s">
        <v>72</v>
      </c>
      <c r="B22" s="6" t="s">
        <v>73</v>
      </c>
      <c r="C22" s="6" t="s">
        <v>74</v>
      </c>
      <c r="D22" s="7" t="s">
        <v>0</v>
      </c>
      <c r="E22" s="7" t="s">
        <v>0</v>
      </c>
      <c r="F22" s="7" t="s">
        <v>35</v>
      </c>
      <c r="G22" s="7" t="s">
        <v>0</v>
      </c>
      <c r="H22" s="7" t="s">
        <v>35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35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0</v>
      </c>
      <c r="T22" s="7" t="s">
        <v>0</v>
      </c>
      <c r="U22" s="7" t="s">
        <v>0</v>
      </c>
      <c r="V22" s="7" t="s">
        <v>0</v>
      </c>
      <c r="W22" s="16" t="str">
        <f>HYPERLINK("http://www.aruplab.com/Testing-Information/resources/HotLines/HotLineDocs/Aug2023QHL/0020734.pdf","H")</f>
        <v>H</v>
      </c>
      <c r="X22" s="16" t="str">
        <f>HYPERLINK("http://www.aruplab.com/Testing-Information/resources/HotLines/TDMix/Aug2023QHL/0020734.xlsx","T")</f>
        <v>T</v>
      </c>
      <c r="Y22" s="16" t="str">
        <f>HYPERLINK("http://www.aruplab.com/Testing-Information/resources/HotLines/Sample_Reports/Aug2023QHL/0020734_Arsenic, Fractionated, Urine_AS UF.pdf","E")</f>
        <v>E</v>
      </c>
      <c r="Z22" s="7" t="s">
        <v>0</v>
      </c>
      <c r="AA22" s="8">
        <v>45159</v>
      </c>
    </row>
    <row r="23" spans="1:27">
      <c r="A23" s="6" t="s">
        <v>75</v>
      </c>
      <c r="B23" s="6" t="s">
        <v>76</v>
      </c>
      <c r="C23" s="6" t="s">
        <v>77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35</v>
      </c>
      <c r="L23" s="7" t="s">
        <v>0</v>
      </c>
      <c r="M23" s="7" t="s">
        <v>0</v>
      </c>
      <c r="N23" s="7" t="s">
        <v>0</v>
      </c>
      <c r="O23" s="7" t="s">
        <v>0</v>
      </c>
      <c r="P23" s="7" t="s">
        <v>0</v>
      </c>
      <c r="Q23" s="7" t="s">
        <v>35</v>
      </c>
      <c r="R23" s="7" t="s">
        <v>0</v>
      </c>
      <c r="S23" s="7" t="s">
        <v>0</v>
      </c>
      <c r="T23" s="7" t="s">
        <v>0</v>
      </c>
      <c r="U23" s="7" t="s">
        <v>0</v>
      </c>
      <c r="V23" s="7" t="s">
        <v>0</v>
      </c>
      <c r="W23" s="16" t="str">
        <f>HYPERLINK("http://www.aruplab.com/Testing-Information/resources/HotLines/HotLineDocs/Aug2023QHL/0023107.pdf","H")</f>
        <v>H</v>
      </c>
      <c r="X23" s="16" t="str">
        <f>HYPERLINK("http://www.aruplab.com/Testing-Information/resources/HotLines/TDMix/Aug2023QHL/0023107.xlsx","T")</f>
        <v>T</v>
      </c>
      <c r="Y23" s="7" t="s">
        <v>0</v>
      </c>
      <c r="Z23" s="7" t="s">
        <v>0</v>
      </c>
      <c r="AA23" s="8">
        <v>45159</v>
      </c>
    </row>
    <row r="24" spans="1:27">
      <c r="A24" s="6" t="s">
        <v>78</v>
      </c>
      <c r="B24" s="6" t="s">
        <v>79</v>
      </c>
      <c r="C24" s="6" t="s">
        <v>80</v>
      </c>
      <c r="D24" s="7" t="s">
        <v>0</v>
      </c>
      <c r="E24" s="7" t="s">
        <v>0</v>
      </c>
      <c r="F24" s="7" t="s">
        <v>0</v>
      </c>
      <c r="G24" s="7" t="s">
        <v>0</v>
      </c>
      <c r="H24" s="7" t="s">
        <v>35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 t="s">
        <v>0</v>
      </c>
      <c r="V24" s="7" t="s">
        <v>0</v>
      </c>
      <c r="W24" s="16" t="str">
        <f>HYPERLINK("http://www.aruplab.com/Testing-Information/resources/HotLines/HotLineDocs/Aug2023QHL/0028250.pdf","H")</f>
        <v>H</v>
      </c>
      <c r="X24" s="7" t="s">
        <v>0</v>
      </c>
      <c r="Y24" s="7" t="s">
        <v>0</v>
      </c>
      <c r="Z24" s="7" t="s">
        <v>0</v>
      </c>
      <c r="AA24" s="8">
        <v>45159</v>
      </c>
    </row>
    <row r="25" spans="1:27" ht="30">
      <c r="A25" s="6" t="s">
        <v>81</v>
      </c>
      <c r="B25" s="6" t="s">
        <v>82</v>
      </c>
      <c r="C25" s="6" t="s">
        <v>83</v>
      </c>
      <c r="D25" s="7" t="s">
        <v>0</v>
      </c>
      <c r="E25" s="7" t="s">
        <v>0</v>
      </c>
      <c r="F25" s="7" t="s">
        <v>35</v>
      </c>
      <c r="G25" s="7" t="s">
        <v>35</v>
      </c>
      <c r="H25" s="7" t="s">
        <v>0</v>
      </c>
      <c r="I25" s="7" t="s">
        <v>0</v>
      </c>
      <c r="J25" s="7" t="s">
        <v>35</v>
      </c>
      <c r="K25" s="7" t="s">
        <v>35</v>
      </c>
      <c r="L25" s="7" t="s">
        <v>0</v>
      </c>
      <c r="M25" s="7" t="s">
        <v>0</v>
      </c>
      <c r="N25" s="7" t="s">
        <v>0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0</v>
      </c>
      <c r="T25" s="7" t="s">
        <v>0</v>
      </c>
      <c r="U25" s="7" t="s">
        <v>0</v>
      </c>
      <c r="V25" s="7" t="s">
        <v>0</v>
      </c>
      <c r="W25" s="16" t="str">
        <f>HYPERLINK("http://www.aruplab.com/Testing-Information/resources/HotLines/HotLineDocs/Aug2023QHL/0050028.pdf","H")</f>
        <v>H</v>
      </c>
      <c r="X25" s="7" t="s">
        <v>0</v>
      </c>
      <c r="Y25" s="7" t="s">
        <v>0</v>
      </c>
      <c r="Z25" s="7" t="s">
        <v>0</v>
      </c>
      <c r="AA25" s="8">
        <v>45159</v>
      </c>
    </row>
    <row r="26" spans="1:27">
      <c r="A26" s="6" t="s">
        <v>84</v>
      </c>
      <c r="B26" s="6" t="s">
        <v>85</v>
      </c>
      <c r="C26" s="6" t="s">
        <v>86</v>
      </c>
      <c r="D26" s="7" t="s">
        <v>0</v>
      </c>
      <c r="E26" s="7" t="s">
        <v>0</v>
      </c>
      <c r="F26" s="7" t="s">
        <v>35</v>
      </c>
      <c r="G26" s="7" t="s">
        <v>35</v>
      </c>
      <c r="H26" s="7" t="s">
        <v>0</v>
      </c>
      <c r="I26" s="7" t="s">
        <v>0</v>
      </c>
      <c r="J26" s="7" t="s">
        <v>35</v>
      </c>
      <c r="K26" s="7" t="s">
        <v>35</v>
      </c>
      <c r="L26" s="7" t="s">
        <v>0</v>
      </c>
      <c r="M26" s="7" t="s">
        <v>0</v>
      </c>
      <c r="N26" s="7" t="s">
        <v>0</v>
      </c>
      <c r="O26" s="7" t="s">
        <v>0</v>
      </c>
      <c r="P26" s="7" t="s">
        <v>0</v>
      </c>
      <c r="Q26" s="7" t="s">
        <v>0</v>
      </c>
      <c r="R26" s="7" t="s">
        <v>0</v>
      </c>
      <c r="S26" s="7" t="s">
        <v>0</v>
      </c>
      <c r="T26" s="7" t="s">
        <v>0</v>
      </c>
      <c r="U26" s="7" t="s">
        <v>0</v>
      </c>
      <c r="V26" s="7" t="s">
        <v>0</v>
      </c>
      <c r="W26" s="16" t="str">
        <f>HYPERLINK("http://www.aruplab.com/Testing-Information/resources/HotLines/HotLineDocs/Aug2023QHL/0050029.pdf","H")</f>
        <v>H</v>
      </c>
      <c r="X26" s="7" t="s">
        <v>0</v>
      </c>
      <c r="Y26" s="7" t="s">
        <v>0</v>
      </c>
      <c r="Z26" s="7" t="s">
        <v>0</v>
      </c>
      <c r="AA26" s="8">
        <v>45159</v>
      </c>
    </row>
    <row r="27" spans="1:27">
      <c r="A27" s="6" t="s">
        <v>87</v>
      </c>
      <c r="B27" s="6" t="s">
        <v>88</v>
      </c>
      <c r="C27" s="6" t="s">
        <v>89</v>
      </c>
      <c r="D27" s="7" t="s">
        <v>0</v>
      </c>
      <c r="E27" s="7" t="s">
        <v>0</v>
      </c>
      <c r="F27" s="7" t="s">
        <v>35</v>
      </c>
      <c r="G27" s="7" t="s">
        <v>35</v>
      </c>
      <c r="H27" s="7" t="s">
        <v>0</v>
      </c>
      <c r="I27" s="7" t="s">
        <v>0</v>
      </c>
      <c r="J27" s="7" t="s">
        <v>35</v>
      </c>
      <c r="K27" s="7" t="s">
        <v>35</v>
      </c>
      <c r="L27" s="7" t="s">
        <v>0</v>
      </c>
      <c r="M27" s="7" t="s">
        <v>0</v>
      </c>
      <c r="N27" s="7" t="s">
        <v>0</v>
      </c>
      <c r="O27" s="7" t="s">
        <v>0</v>
      </c>
      <c r="P27" s="7" t="s">
        <v>0</v>
      </c>
      <c r="Q27" s="7" t="s">
        <v>0</v>
      </c>
      <c r="R27" s="7" t="s">
        <v>0</v>
      </c>
      <c r="S27" s="7" t="s">
        <v>0</v>
      </c>
      <c r="T27" s="7" t="s">
        <v>0</v>
      </c>
      <c r="U27" s="7" t="s">
        <v>0</v>
      </c>
      <c r="V27" s="7" t="s">
        <v>0</v>
      </c>
      <c r="W27" s="16" t="str">
        <f>HYPERLINK("http://www.aruplab.com/Testing-Information/resources/HotLines/HotLineDocs/Aug2023QHL/0050030.pdf","H")</f>
        <v>H</v>
      </c>
      <c r="X27" s="7" t="s">
        <v>0</v>
      </c>
      <c r="Y27" s="7" t="s">
        <v>0</v>
      </c>
      <c r="Z27" s="7" t="s">
        <v>0</v>
      </c>
      <c r="AA27" s="8">
        <v>45159</v>
      </c>
    </row>
    <row r="28" spans="1:27" ht="30">
      <c r="A28" s="6" t="s">
        <v>90</v>
      </c>
      <c r="B28" s="6" t="s">
        <v>91</v>
      </c>
      <c r="C28" s="6" t="s">
        <v>92</v>
      </c>
      <c r="D28" s="7" t="s">
        <v>0</v>
      </c>
      <c r="E28" s="7" t="s">
        <v>0</v>
      </c>
      <c r="F28" s="7" t="s">
        <v>0</v>
      </c>
      <c r="G28" s="7" t="s">
        <v>0</v>
      </c>
      <c r="H28" s="7" t="s">
        <v>35</v>
      </c>
      <c r="I28" s="7" t="s">
        <v>0</v>
      </c>
      <c r="J28" s="7" t="s">
        <v>0</v>
      </c>
      <c r="K28" s="7" t="s">
        <v>0</v>
      </c>
      <c r="L28" s="7" t="s">
        <v>0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0</v>
      </c>
      <c r="R28" s="7" t="s">
        <v>0</v>
      </c>
      <c r="S28" s="7" t="s">
        <v>0</v>
      </c>
      <c r="T28" s="7" t="s">
        <v>0</v>
      </c>
      <c r="U28" s="7" t="s">
        <v>0</v>
      </c>
      <c r="V28" s="7" t="s">
        <v>0</v>
      </c>
      <c r="W28" s="16" t="str">
        <f>HYPERLINK("http://www.aruplab.com/Testing-Information/resources/HotLines/HotLineDocs/Aug2023QHL/0050065.pdf","H")</f>
        <v>H</v>
      </c>
      <c r="X28" s="7" t="s">
        <v>0</v>
      </c>
      <c r="Y28" s="7" t="s">
        <v>0</v>
      </c>
      <c r="Z28" s="7" t="s">
        <v>0</v>
      </c>
      <c r="AA28" s="8">
        <v>45159</v>
      </c>
    </row>
    <row r="29" spans="1:27" ht="30">
      <c r="A29" s="6" t="s">
        <v>93</v>
      </c>
      <c r="B29" s="6" t="s">
        <v>94</v>
      </c>
      <c r="C29" s="6" t="s">
        <v>95</v>
      </c>
      <c r="D29" s="7" t="s">
        <v>0</v>
      </c>
      <c r="E29" s="7" t="s">
        <v>0</v>
      </c>
      <c r="F29" s="7" t="s">
        <v>0</v>
      </c>
      <c r="G29" s="7" t="s">
        <v>0</v>
      </c>
      <c r="H29" s="7" t="s">
        <v>0</v>
      </c>
      <c r="I29" s="7" t="s">
        <v>0</v>
      </c>
      <c r="J29" s="7" t="s">
        <v>35</v>
      </c>
      <c r="K29" s="7" t="s">
        <v>35</v>
      </c>
      <c r="L29" s="7" t="s">
        <v>0</v>
      </c>
      <c r="M29" s="7" t="s">
        <v>0</v>
      </c>
      <c r="N29" s="7" t="s">
        <v>0</v>
      </c>
      <c r="O29" s="7" t="s">
        <v>0</v>
      </c>
      <c r="P29" s="7" t="s">
        <v>0</v>
      </c>
      <c r="Q29" s="7" t="s">
        <v>0</v>
      </c>
      <c r="R29" s="7" t="s">
        <v>0</v>
      </c>
      <c r="S29" s="7" t="s">
        <v>0</v>
      </c>
      <c r="T29" s="7" t="s">
        <v>0</v>
      </c>
      <c r="U29" s="7" t="s">
        <v>0</v>
      </c>
      <c r="V29" s="7" t="s">
        <v>0</v>
      </c>
      <c r="W29" s="16" t="str">
        <f>HYPERLINK("http://www.aruplab.com/Testing-Information/resources/HotLines/HotLineDocs/Aug2023QHL/0050095.pdf","H")</f>
        <v>H</v>
      </c>
      <c r="X29" s="7" t="s">
        <v>0</v>
      </c>
      <c r="Y29" s="16" t="str">
        <f>HYPERLINK("http://www.aruplab.com/Testing-Information/resources/HotLines/Sample_Reports/Aug2023QHL/0050095_Streptolysin O Antibody ASO_ASO.pdf","E")</f>
        <v>E</v>
      </c>
      <c r="Z29" s="7" t="s">
        <v>0</v>
      </c>
      <c r="AA29" s="8">
        <v>45159</v>
      </c>
    </row>
    <row r="30" spans="1:27">
      <c r="A30" s="6" t="s">
        <v>96</v>
      </c>
      <c r="B30" s="6" t="s">
        <v>97</v>
      </c>
      <c r="C30" s="6" t="s">
        <v>98</v>
      </c>
      <c r="D30" s="7" t="s">
        <v>0</v>
      </c>
      <c r="E30" s="7" t="s">
        <v>0</v>
      </c>
      <c r="F30" s="7" t="s">
        <v>35</v>
      </c>
      <c r="G30" s="7" t="s">
        <v>0</v>
      </c>
      <c r="H30" s="7" t="s">
        <v>35</v>
      </c>
      <c r="I30" s="7" t="s">
        <v>0</v>
      </c>
      <c r="J30" s="7" t="s">
        <v>35</v>
      </c>
      <c r="K30" s="7" t="s">
        <v>0</v>
      </c>
      <c r="L30" s="7" t="s">
        <v>0</v>
      </c>
      <c r="M30" s="7" t="s">
        <v>0</v>
      </c>
      <c r="N30" s="7" t="s">
        <v>0</v>
      </c>
      <c r="O30" s="7" t="s">
        <v>0</v>
      </c>
      <c r="P30" s="7" t="s">
        <v>0</v>
      </c>
      <c r="Q30" s="7" t="s">
        <v>0</v>
      </c>
      <c r="R30" s="7" t="s">
        <v>0</v>
      </c>
      <c r="S30" s="7" t="s">
        <v>0</v>
      </c>
      <c r="T30" s="7" t="s">
        <v>0</v>
      </c>
      <c r="U30" s="7" t="s">
        <v>0</v>
      </c>
      <c r="V30" s="7" t="s">
        <v>0</v>
      </c>
      <c r="W30" s="16" t="str">
        <f>HYPERLINK("http://www.aruplab.com/Testing-Information/resources/HotLines/HotLineDocs/Aug2023QHL/0050220.pdf","H")</f>
        <v>H</v>
      </c>
      <c r="X30" s="7" t="s">
        <v>0</v>
      </c>
      <c r="Y30" s="16" t="str">
        <f>HYPERLINK("http://www.aruplab.com/Testing-Information/resources/HotLines/Sample_Reports/Aug2023QHL/0050220_DNase-B Antibody_DNSB.pdf","E")</f>
        <v>E</v>
      </c>
      <c r="Z30" s="7" t="s">
        <v>0</v>
      </c>
      <c r="AA30" s="8">
        <v>45159</v>
      </c>
    </row>
    <row r="31" spans="1:27" ht="105">
      <c r="A31" s="6" t="s">
        <v>99</v>
      </c>
      <c r="B31" s="6" t="s">
        <v>100</v>
      </c>
      <c r="C31" s="6" t="s">
        <v>101</v>
      </c>
      <c r="D31" s="7" t="s">
        <v>0</v>
      </c>
      <c r="E31" s="7" t="s">
        <v>0</v>
      </c>
      <c r="F31" s="7" t="s">
        <v>0</v>
      </c>
      <c r="G31" s="7" t="s">
        <v>0</v>
      </c>
      <c r="H31" s="7" t="s">
        <v>0</v>
      </c>
      <c r="I31" s="7" t="s">
        <v>0</v>
      </c>
      <c r="J31" s="7" t="s">
        <v>0</v>
      </c>
      <c r="K31" s="7" t="s">
        <v>0</v>
      </c>
      <c r="L31" s="7" t="s">
        <v>0</v>
      </c>
      <c r="M31" s="7" t="s">
        <v>0</v>
      </c>
      <c r="N31" s="7" t="s">
        <v>0</v>
      </c>
      <c r="O31" s="7" t="s">
        <v>0</v>
      </c>
      <c r="P31" s="7" t="s">
        <v>0</v>
      </c>
      <c r="Q31" s="7" t="s">
        <v>0</v>
      </c>
      <c r="R31" s="7" t="s">
        <v>0</v>
      </c>
      <c r="S31" s="7" t="s">
        <v>0</v>
      </c>
      <c r="T31" s="7" t="s">
        <v>0</v>
      </c>
      <c r="U31" s="7" t="s">
        <v>35</v>
      </c>
      <c r="V31" s="7" t="s">
        <v>0</v>
      </c>
      <c r="W31" s="16" t="str">
        <f>HYPERLINK("http://www.aruplab.com/Testing-Information/resources/HotLines/HotLineDocs/Aug2023QHL/2023.07.07 Aug Quarterly Hotline Inactivations.pdf","H")</f>
        <v>H</v>
      </c>
      <c r="X31" s="7" t="s">
        <v>0</v>
      </c>
      <c r="Y31" s="7" t="s">
        <v>0</v>
      </c>
      <c r="Z31" s="7" t="s">
        <v>0</v>
      </c>
      <c r="AA31" s="8">
        <v>45159</v>
      </c>
    </row>
    <row r="32" spans="1:27" ht="60">
      <c r="A32" s="6" t="s">
        <v>102</v>
      </c>
      <c r="B32" s="6" t="s">
        <v>103</v>
      </c>
      <c r="C32" s="6" t="s">
        <v>104</v>
      </c>
      <c r="D32" s="7" t="s">
        <v>0</v>
      </c>
      <c r="E32" s="7" t="s">
        <v>0</v>
      </c>
      <c r="F32" s="7" t="s">
        <v>35</v>
      </c>
      <c r="G32" s="7" t="s">
        <v>35</v>
      </c>
      <c r="H32" s="7" t="s">
        <v>0</v>
      </c>
      <c r="I32" s="7" t="s">
        <v>0</v>
      </c>
      <c r="J32" s="7" t="s">
        <v>35</v>
      </c>
      <c r="K32" s="7" t="s">
        <v>0</v>
      </c>
      <c r="L32" s="7" t="s">
        <v>0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  <c r="T32" s="7" t="s">
        <v>0</v>
      </c>
      <c r="U32" s="7" t="s">
        <v>0</v>
      </c>
      <c r="V32" s="7" t="s">
        <v>0</v>
      </c>
      <c r="W32" s="16" t="str">
        <f>HYPERLINK("http://www.aruplab.com/Testing-Information/resources/HotLines/HotLineDocs/Aug2023QHL/0050725.pdf","H")</f>
        <v>H</v>
      </c>
      <c r="X32" s="7" t="s">
        <v>0</v>
      </c>
      <c r="Y32" s="16" t="str">
        <f>HYPERLINK("http://www.aruplab.com/Testing-Information/resources/HotLines/Sample_Reports/Aug2023QHL/0050725_Streptococcus pneumoniae Antibodies, IgG 14 Serotypes_PNEUMO AB.pdf","E")</f>
        <v>E</v>
      </c>
      <c r="Z32" s="7" t="s">
        <v>0</v>
      </c>
      <c r="AA32" s="8">
        <v>45159</v>
      </c>
    </row>
    <row r="33" spans="1:27" ht="30">
      <c r="A33" s="6" t="s">
        <v>105</v>
      </c>
      <c r="B33" s="6" t="s">
        <v>106</v>
      </c>
      <c r="C33" s="6" t="s">
        <v>107</v>
      </c>
      <c r="D33" s="7" t="s">
        <v>0</v>
      </c>
      <c r="E33" s="7" t="s">
        <v>0</v>
      </c>
      <c r="F33" s="7" t="s">
        <v>35</v>
      </c>
      <c r="G33" s="7" t="s">
        <v>35</v>
      </c>
      <c r="H33" s="7" t="s">
        <v>0</v>
      </c>
      <c r="I33" s="7" t="s">
        <v>0</v>
      </c>
      <c r="J33" s="7" t="s">
        <v>35</v>
      </c>
      <c r="K33" s="7" t="s">
        <v>0</v>
      </c>
      <c r="L33" s="7" t="s">
        <v>0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  <c r="T33" s="7" t="s">
        <v>0</v>
      </c>
      <c r="U33" s="7" t="s">
        <v>0</v>
      </c>
      <c r="V33" s="7" t="s">
        <v>0</v>
      </c>
      <c r="W33" s="16" t="str">
        <f>HYPERLINK("http://www.aruplab.com/Testing-Information/resources/HotLines/HotLineDocs/Aug2023QHL/0050980.pdf","H")</f>
        <v>H</v>
      </c>
      <c r="X33" s="7" t="s">
        <v>0</v>
      </c>
      <c r="Y33" s="16" t="str">
        <f>HYPERLINK("http://www.aruplab.com/Testing-Information/resources/HotLines/Sample_Reports/Aug2023QHL/0050980_Humoral Immunity Panel I_HUMPAN I.pdf","E")</f>
        <v>E</v>
      </c>
      <c r="Z33" s="7" t="s">
        <v>0</v>
      </c>
      <c r="AA33" s="8">
        <v>45159</v>
      </c>
    </row>
    <row r="34" spans="1:27" ht="30">
      <c r="A34" s="6" t="s">
        <v>108</v>
      </c>
      <c r="B34" s="6" t="s">
        <v>109</v>
      </c>
      <c r="C34" s="6" t="s">
        <v>110</v>
      </c>
      <c r="D34" s="7" t="s">
        <v>0</v>
      </c>
      <c r="E34" s="7" t="s">
        <v>0</v>
      </c>
      <c r="F34" s="7" t="s">
        <v>35</v>
      </c>
      <c r="G34" s="7" t="s">
        <v>35</v>
      </c>
      <c r="H34" s="7" t="s">
        <v>0</v>
      </c>
      <c r="I34" s="7" t="s">
        <v>0</v>
      </c>
      <c r="J34" s="7" t="s">
        <v>35</v>
      </c>
      <c r="K34" s="7" t="s">
        <v>0</v>
      </c>
      <c r="L34" s="7" t="s">
        <v>0</v>
      </c>
      <c r="M34" s="7" t="s">
        <v>0</v>
      </c>
      <c r="N34" s="7" t="s">
        <v>0</v>
      </c>
      <c r="O34" s="7" t="s">
        <v>0</v>
      </c>
      <c r="P34" s="7" t="s">
        <v>0</v>
      </c>
      <c r="Q34" s="7" t="s">
        <v>0</v>
      </c>
      <c r="R34" s="7" t="s">
        <v>0</v>
      </c>
      <c r="S34" s="7" t="s">
        <v>0</v>
      </c>
      <c r="T34" s="7" t="s">
        <v>0</v>
      </c>
      <c r="U34" s="7" t="s">
        <v>0</v>
      </c>
      <c r="V34" s="7" t="s">
        <v>0</v>
      </c>
      <c r="W34" s="16" t="str">
        <f>HYPERLINK("http://www.aruplab.com/Testing-Information/resources/HotLines/HotLineDocs/Aug2023QHL/0050981.pdf","H")</f>
        <v>H</v>
      </c>
      <c r="X34" s="7" t="s">
        <v>0</v>
      </c>
      <c r="Y34" s="16" t="str">
        <f>HYPERLINK("http://www.aruplab.com/Testing-Information/resources/HotLines/Sample_Reports/Aug2023QHL/0050981_Humoral Immunity Panel II_HUMPAN II.pdf","E")</f>
        <v>E</v>
      </c>
      <c r="Z34" s="7" t="s">
        <v>0</v>
      </c>
      <c r="AA34" s="8">
        <v>45159</v>
      </c>
    </row>
    <row r="35" spans="1:27" ht="30">
      <c r="A35" s="6" t="s">
        <v>111</v>
      </c>
      <c r="B35" s="6" t="s">
        <v>112</v>
      </c>
      <c r="C35" s="6" t="s">
        <v>113</v>
      </c>
      <c r="D35" s="7" t="s">
        <v>0</v>
      </c>
      <c r="E35" s="7" t="s">
        <v>0</v>
      </c>
      <c r="F35" s="7" t="s">
        <v>35</v>
      </c>
      <c r="G35" s="7" t="s">
        <v>35</v>
      </c>
      <c r="H35" s="7" t="s">
        <v>0</v>
      </c>
      <c r="I35" s="7" t="s">
        <v>0</v>
      </c>
      <c r="J35" s="7" t="s">
        <v>35</v>
      </c>
      <c r="K35" s="7" t="s">
        <v>0</v>
      </c>
      <c r="L35" s="7" t="s">
        <v>0</v>
      </c>
      <c r="M35" s="7" t="s">
        <v>0</v>
      </c>
      <c r="N35" s="7" t="s">
        <v>0</v>
      </c>
      <c r="O35" s="7" t="s">
        <v>0</v>
      </c>
      <c r="P35" s="7" t="s">
        <v>0</v>
      </c>
      <c r="Q35" s="7" t="s">
        <v>0</v>
      </c>
      <c r="R35" s="7" t="s">
        <v>0</v>
      </c>
      <c r="S35" s="7" t="s">
        <v>0</v>
      </c>
      <c r="T35" s="7" t="s">
        <v>0</v>
      </c>
      <c r="U35" s="7" t="s">
        <v>0</v>
      </c>
      <c r="V35" s="7" t="s">
        <v>0</v>
      </c>
      <c r="W35" s="16" t="str">
        <f>HYPERLINK("http://www.aruplab.com/Testing-Information/resources/HotLines/HotLineDocs/Aug2023QHL/0051368.pdf","H")</f>
        <v>H</v>
      </c>
      <c r="X35" s="7" t="s">
        <v>0</v>
      </c>
      <c r="Y35" s="7" t="s">
        <v>0</v>
      </c>
      <c r="Z35" s="7" t="s">
        <v>0</v>
      </c>
      <c r="AA35" s="8">
        <v>45159</v>
      </c>
    </row>
    <row r="36" spans="1:27" ht="45">
      <c r="A36" s="6" t="s">
        <v>114</v>
      </c>
      <c r="B36" s="6" t="s">
        <v>115</v>
      </c>
      <c r="C36" s="6" t="s">
        <v>116</v>
      </c>
      <c r="D36" s="7" t="s">
        <v>0</v>
      </c>
      <c r="E36" s="7" t="s">
        <v>0</v>
      </c>
      <c r="F36" s="7" t="s">
        <v>35</v>
      </c>
      <c r="G36" s="7" t="s">
        <v>0</v>
      </c>
      <c r="H36" s="7" t="s">
        <v>0</v>
      </c>
      <c r="I36" s="7" t="s">
        <v>0</v>
      </c>
      <c r="J36" s="7" t="s">
        <v>0</v>
      </c>
      <c r="K36" s="7" t="s">
        <v>0</v>
      </c>
      <c r="L36" s="7" t="s">
        <v>0</v>
      </c>
      <c r="M36" s="7" t="s">
        <v>0</v>
      </c>
      <c r="N36" s="7" t="s">
        <v>0</v>
      </c>
      <c r="O36" s="7" t="s">
        <v>0</v>
      </c>
      <c r="P36" s="7" t="s">
        <v>0</v>
      </c>
      <c r="Q36" s="7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0</v>
      </c>
      <c r="W36" s="16" t="str">
        <f>HYPERLINK("http://www.aruplab.com/Testing-Information/resources/HotLines/HotLineDocs/Aug2023QHL/0051726.pdf","H")</f>
        <v>H</v>
      </c>
      <c r="X36" s="7" t="s">
        <v>0</v>
      </c>
      <c r="Y36" s="7" t="s">
        <v>0</v>
      </c>
      <c r="Z36" s="7" t="s">
        <v>0</v>
      </c>
      <c r="AA36" s="8">
        <v>45159</v>
      </c>
    </row>
    <row r="37" spans="1:27" ht="105">
      <c r="A37" s="6" t="s">
        <v>117</v>
      </c>
      <c r="B37" s="6" t="s">
        <v>118</v>
      </c>
      <c r="C37" s="6" t="s">
        <v>119</v>
      </c>
      <c r="D37" s="7" t="s">
        <v>0</v>
      </c>
      <c r="E37" s="7" t="s">
        <v>0</v>
      </c>
      <c r="F37" s="7" t="s">
        <v>0</v>
      </c>
      <c r="G37" s="7" t="s">
        <v>0</v>
      </c>
      <c r="H37" s="7" t="s">
        <v>0</v>
      </c>
      <c r="I37" s="7" t="s">
        <v>0</v>
      </c>
      <c r="J37" s="7" t="s">
        <v>0</v>
      </c>
      <c r="K37" s="7" t="s">
        <v>0</v>
      </c>
      <c r="L37" s="7" t="s">
        <v>0</v>
      </c>
      <c r="M37" s="7" t="s">
        <v>0</v>
      </c>
      <c r="N37" s="7" t="s">
        <v>0</v>
      </c>
      <c r="O37" s="7" t="s">
        <v>0</v>
      </c>
      <c r="P37" s="7" t="s">
        <v>0</v>
      </c>
      <c r="Q37" s="7" t="s">
        <v>0</v>
      </c>
      <c r="R37" s="7" t="s">
        <v>0</v>
      </c>
      <c r="S37" s="7" t="s">
        <v>0</v>
      </c>
      <c r="T37" s="7" t="s">
        <v>0</v>
      </c>
      <c r="U37" s="7" t="s">
        <v>35</v>
      </c>
      <c r="V37" s="7" t="s">
        <v>0</v>
      </c>
      <c r="W37" s="16" t="str">
        <f>HYPERLINK("http://www.aruplab.com/Testing-Information/resources/HotLines/HotLineDocs/Aug2023QHL/2023.07.07 Aug Quarterly Hotline Inactivations.pdf","H")</f>
        <v>H</v>
      </c>
      <c r="X37" s="7" t="s">
        <v>0</v>
      </c>
      <c r="Y37" s="7" t="s">
        <v>0</v>
      </c>
      <c r="Z37" s="7" t="s">
        <v>0</v>
      </c>
      <c r="AA37" s="8">
        <v>45159</v>
      </c>
    </row>
    <row r="38" spans="1:27" ht="30">
      <c r="A38" s="6" t="s">
        <v>120</v>
      </c>
      <c r="B38" s="6" t="s">
        <v>121</v>
      </c>
      <c r="C38" s="6" t="s">
        <v>122</v>
      </c>
      <c r="D38" s="7" t="s">
        <v>0</v>
      </c>
      <c r="E38" s="7" t="s">
        <v>0</v>
      </c>
      <c r="F38" s="7" t="s">
        <v>35</v>
      </c>
      <c r="G38" s="7" t="s">
        <v>35</v>
      </c>
      <c r="H38" s="7" t="s">
        <v>0</v>
      </c>
      <c r="I38" s="7" t="s">
        <v>0</v>
      </c>
      <c r="J38" s="7" t="s">
        <v>0</v>
      </c>
      <c r="K38" s="7" t="s">
        <v>0</v>
      </c>
      <c r="L38" s="7" t="s">
        <v>0</v>
      </c>
      <c r="M38" s="7" t="s">
        <v>0</v>
      </c>
      <c r="N38" s="7" t="s">
        <v>0</v>
      </c>
      <c r="O38" s="7" t="s">
        <v>0</v>
      </c>
      <c r="P38" s="7" t="s">
        <v>0</v>
      </c>
      <c r="Q38" s="7" t="s">
        <v>0</v>
      </c>
      <c r="R38" s="7" t="s">
        <v>0</v>
      </c>
      <c r="S38" s="7" t="s">
        <v>0</v>
      </c>
      <c r="T38" s="7" t="s">
        <v>0</v>
      </c>
      <c r="U38" s="7" t="s">
        <v>0</v>
      </c>
      <c r="V38" s="7" t="s">
        <v>0</v>
      </c>
      <c r="W38" s="16" t="str">
        <f>HYPERLINK("http://www.aruplab.com/Testing-Information/resources/HotLines/HotLineDocs/Aug2023QHL/0055567.pdf","H")</f>
        <v>H</v>
      </c>
      <c r="X38" s="7" t="s">
        <v>0</v>
      </c>
      <c r="Y38" s="7" t="s">
        <v>0</v>
      </c>
      <c r="Z38" s="7" t="s">
        <v>0</v>
      </c>
      <c r="AA38" s="8">
        <v>45159</v>
      </c>
    </row>
    <row r="39" spans="1:27" ht="45">
      <c r="A39" s="6" t="s">
        <v>123</v>
      </c>
      <c r="B39" s="6" t="s">
        <v>124</v>
      </c>
      <c r="C39" s="6" t="s">
        <v>125</v>
      </c>
      <c r="D39" s="7" t="s">
        <v>0</v>
      </c>
      <c r="E39" s="7" t="s">
        <v>0</v>
      </c>
      <c r="F39" s="7" t="s">
        <v>35</v>
      </c>
      <c r="G39" s="7" t="s">
        <v>0</v>
      </c>
      <c r="H39" s="7" t="s">
        <v>35</v>
      </c>
      <c r="I39" s="7" t="s">
        <v>0</v>
      </c>
      <c r="J39" s="7" t="s">
        <v>0</v>
      </c>
      <c r="K39" s="7" t="s">
        <v>0</v>
      </c>
      <c r="L39" s="7" t="s">
        <v>0</v>
      </c>
      <c r="M39" s="7" t="s">
        <v>0</v>
      </c>
      <c r="N39" s="7" t="s">
        <v>0</v>
      </c>
      <c r="O39" s="7" t="s">
        <v>0</v>
      </c>
      <c r="P39" s="7" t="s">
        <v>0</v>
      </c>
      <c r="Q39" s="7" t="s">
        <v>0</v>
      </c>
      <c r="R39" s="7" t="s">
        <v>0</v>
      </c>
      <c r="S39" s="7" t="s">
        <v>0</v>
      </c>
      <c r="T39" s="7" t="s">
        <v>0</v>
      </c>
      <c r="U39" s="7" t="s">
        <v>0</v>
      </c>
      <c r="V39" s="7" t="s">
        <v>0</v>
      </c>
      <c r="W39" s="16" t="str">
        <f>HYPERLINK("http://www.aruplab.com/Testing-Information/resources/HotLines/HotLineDocs/Aug2023QHL/0060193.pdf","H")</f>
        <v>H</v>
      </c>
      <c r="X39" s="7" t="s">
        <v>0</v>
      </c>
      <c r="Y39" s="7" t="s">
        <v>0</v>
      </c>
      <c r="Z39" s="7" t="s">
        <v>0</v>
      </c>
      <c r="AA39" s="8">
        <v>45159</v>
      </c>
    </row>
    <row r="40" spans="1:27" ht="45">
      <c r="A40" s="6" t="s">
        <v>126</v>
      </c>
      <c r="B40" s="6" t="s">
        <v>127</v>
      </c>
      <c r="C40" s="6" t="s">
        <v>128</v>
      </c>
      <c r="D40" s="7" t="s">
        <v>0</v>
      </c>
      <c r="E40" s="7" t="s">
        <v>0</v>
      </c>
      <c r="F40" s="7" t="s">
        <v>35</v>
      </c>
      <c r="G40" s="7" t="s">
        <v>0</v>
      </c>
      <c r="H40" s="7" t="s">
        <v>35</v>
      </c>
      <c r="I40" s="7" t="s">
        <v>0</v>
      </c>
      <c r="J40" s="7" t="s">
        <v>0</v>
      </c>
      <c r="K40" s="7" t="s">
        <v>0</v>
      </c>
      <c r="L40" s="7" t="s">
        <v>0</v>
      </c>
      <c r="M40" s="7" t="s">
        <v>0</v>
      </c>
      <c r="N40" s="7" t="s">
        <v>0</v>
      </c>
      <c r="O40" s="7" t="s">
        <v>0</v>
      </c>
      <c r="P40" s="7" t="s">
        <v>0</v>
      </c>
      <c r="Q40" s="7" t="s">
        <v>0</v>
      </c>
      <c r="R40" s="7" t="s">
        <v>0</v>
      </c>
      <c r="S40" s="7" t="s">
        <v>0</v>
      </c>
      <c r="T40" s="7" t="s">
        <v>0</v>
      </c>
      <c r="U40" s="7" t="s">
        <v>0</v>
      </c>
      <c r="V40" s="7" t="s">
        <v>0</v>
      </c>
      <c r="W40" s="16" t="str">
        <f>HYPERLINK("http://www.aruplab.com/Testing-Information/resources/HotLines/HotLineDocs/Aug2023QHL/0060200.pdf","H")</f>
        <v>H</v>
      </c>
      <c r="X40" s="7" t="s">
        <v>0</v>
      </c>
      <c r="Y40" s="7" t="s">
        <v>0</v>
      </c>
      <c r="Z40" s="7" t="s">
        <v>0</v>
      </c>
      <c r="AA40" s="8">
        <v>45159</v>
      </c>
    </row>
    <row r="41" spans="1:27" ht="45">
      <c r="A41" s="6" t="s">
        <v>129</v>
      </c>
      <c r="B41" s="6" t="s">
        <v>130</v>
      </c>
      <c r="C41" s="6" t="s">
        <v>131</v>
      </c>
      <c r="D41" s="7" t="s">
        <v>0</v>
      </c>
      <c r="E41" s="7" t="s">
        <v>0</v>
      </c>
      <c r="F41" s="7" t="s">
        <v>35</v>
      </c>
      <c r="G41" s="7" t="s">
        <v>0</v>
      </c>
      <c r="H41" s="7" t="s">
        <v>35</v>
      </c>
      <c r="I41" s="7" t="s">
        <v>0</v>
      </c>
      <c r="J41" s="7" t="s">
        <v>0</v>
      </c>
      <c r="K41" s="7" t="s">
        <v>0</v>
      </c>
      <c r="L41" s="7" t="s">
        <v>0</v>
      </c>
      <c r="M41" s="7" t="s">
        <v>0</v>
      </c>
      <c r="N41" s="7" t="s">
        <v>0</v>
      </c>
      <c r="O41" s="7" t="s">
        <v>0</v>
      </c>
      <c r="P41" s="7" t="s">
        <v>0</v>
      </c>
      <c r="Q41" s="7" t="s">
        <v>0</v>
      </c>
      <c r="R41" s="7" t="s">
        <v>0</v>
      </c>
      <c r="S41" s="7" t="s">
        <v>0</v>
      </c>
      <c r="T41" s="7" t="s">
        <v>0</v>
      </c>
      <c r="U41" s="7" t="s">
        <v>0</v>
      </c>
      <c r="V41" s="7" t="s">
        <v>0</v>
      </c>
      <c r="W41" s="16" t="str">
        <f>HYPERLINK("http://www.aruplab.com/Testing-Information/resources/HotLines/HotLineDocs/Aug2023QHL/0060201.pdf","H")</f>
        <v>H</v>
      </c>
      <c r="X41" s="7" t="s">
        <v>0</v>
      </c>
      <c r="Y41" s="7" t="s">
        <v>0</v>
      </c>
      <c r="Z41" s="7" t="s">
        <v>0</v>
      </c>
      <c r="AA41" s="8">
        <v>45159</v>
      </c>
    </row>
    <row r="42" spans="1:27" ht="45">
      <c r="A42" s="6" t="s">
        <v>132</v>
      </c>
      <c r="B42" s="6" t="s">
        <v>133</v>
      </c>
      <c r="C42" s="6" t="s">
        <v>134</v>
      </c>
      <c r="D42" s="7" t="s">
        <v>0</v>
      </c>
      <c r="E42" s="7" t="s">
        <v>0</v>
      </c>
      <c r="F42" s="7" t="s">
        <v>35</v>
      </c>
      <c r="G42" s="7" t="s">
        <v>0</v>
      </c>
      <c r="H42" s="7" t="s">
        <v>35</v>
      </c>
      <c r="I42" s="7" t="s">
        <v>0</v>
      </c>
      <c r="J42" s="7" t="s">
        <v>0</v>
      </c>
      <c r="K42" s="7" t="s">
        <v>0</v>
      </c>
      <c r="L42" s="7" t="s">
        <v>0</v>
      </c>
      <c r="M42" s="7" t="s">
        <v>0</v>
      </c>
      <c r="N42" s="7" t="s">
        <v>0</v>
      </c>
      <c r="O42" s="7" t="s">
        <v>0</v>
      </c>
      <c r="P42" s="7" t="s">
        <v>0</v>
      </c>
      <c r="Q42" s="7" t="s">
        <v>0</v>
      </c>
      <c r="R42" s="7" t="s">
        <v>0</v>
      </c>
      <c r="S42" s="7" t="s">
        <v>0</v>
      </c>
      <c r="T42" s="7" t="s">
        <v>0</v>
      </c>
      <c r="U42" s="7" t="s">
        <v>0</v>
      </c>
      <c r="V42" s="7" t="s">
        <v>0</v>
      </c>
      <c r="W42" s="16" t="str">
        <f>HYPERLINK("http://www.aruplab.com/Testing-Information/resources/HotLines/HotLineDocs/Aug2023QHL/0060202.pdf","H")</f>
        <v>H</v>
      </c>
      <c r="X42" s="7" t="s">
        <v>0</v>
      </c>
      <c r="Y42" s="7" t="s">
        <v>0</v>
      </c>
      <c r="Z42" s="7" t="s">
        <v>0</v>
      </c>
      <c r="AA42" s="8">
        <v>45159</v>
      </c>
    </row>
    <row r="43" spans="1:27" ht="60">
      <c r="A43" s="6" t="s">
        <v>135</v>
      </c>
      <c r="B43" s="6" t="s">
        <v>136</v>
      </c>
      <c r="C43" s="6" t="s">
        <v>137</v>
      </c>
      <c r="D43" s="7" t="s">
        <v>0</v>
      </c>
      <c r="E43" s="7" t="s">
        <v>0</v>
      </c>
      <c r="F43" s="7" t="s">
        <v>35</v>
      </c>
      <c r="G43" s="7" t="s">
        <v>0</v>
      </c>
      <c r="H43" s="7" t="s">
        <v>35</v>
      </c>
      <c r="I43" s="7" t="s">
        <v>0</v>
      </c>
      <c r="J43" s="7" t="s">
        <v>0</v>
      </c>
      <c r="K43" s="7" t="s">
        <v>0</v>
      </c>
      <c r="L43" s="7" t="s">
        <v>0</v>
      </c>
      <c r="M43" s="7" t="s">
        <v>0</v>
      </c>
      <c r="N43" s="7" t="s">
        <v>0</v>
      </c>
      <c r="O43" s="7" t="s">
        <v>0</v>
      </c>
      <c r="P43" s="7" t="s">
        <v>0</v>
      </c>
      <c r="Q43" s="7" t="s">
        <v>0</v>
      </c>
      <c r="R43" s="7" t="s">
        <v>0</v>
      </c>
      <c r="S43" s="7" t="s">
        <v>0</v>
      </c>
      <c r="T43" s="7" t="s">
        <v>0</v>
      </c>
      <c r="U43" s="7" t="s">
        <v>0</v>
      </c>
      <c r="V43" s="7" t="s">
        <v>0</v>
      </c>
      <c r="W43" s="16" t="str">
        <f>HYPERLINK("http://www.aruplab.com/Testing-Information/resources/HotLines/HotLineDocs/Aug2023QHL/0060222.pdf","H")</f>
        <v>H</v>
      </c>
      <c r="X43" s="7" t="s">
        <v>0</v>
      </c>
      <c r="Y43" s="7" t="s">
        <v>0</v>
      </c>
      <c r="Z43" s="7" t="s">
        <v>0</v>
      </c>
      <c r="AA43" s="8">
        <v>45159</v>
      </c>
    </row>
    <row r="44" spans="1:27" ht="45">
      <c r="A44" s="6" t="s">
        <v>138</v>
      </c>
      <c r="B44" s="6" t="s">
        <v>139</v>
      </c>
      <c r="C44" s="6" t="s">
        <v>140</v>
      </c>
      <c r="D44" s="7" t="s">
        <v>0</v>
      </c>
      <c r="E44" s="7" t="s">
        <v>0</v>
      </c>
      <c r="F44" s="7" t="s">
        <v>35</v>
      </c>
      <c r="G44" s="7" t="s">
        <v>0</v>
      </c>
      <c r="H44" s="7" t="s">
        <v>35</v>
      </c>
      <c r="I44" s="7" t="s">
        <v>35</v>
      </c>
      <c r="J44" s="7" t="s">
        <v>0</v>
      </c>
      <c r="K44" s="7" t="s">
        <v>0</v>
      </c>
      <c r="L44" s="7" t="s">
        <v>0</v>
      </c>
      <c r="M44" s="7" t="s">
        <v>0</v>
      </c>
      <c r="N44" s="7" t="s">
        <v>0</v>
      </c>
      <c r="O44" s="7" t="s">
        <v>0</v>
      </c>
      <c r="P44" s="7" t="s">
        <v>0</v>
      </c>
      <c r="Q44" s="7" t="s">
        <v>0</v>
      </c>
      <c r="R44" s="7" t="s">
        <v>0</v>
      </c>
      <c r="S44" s="7" t="s">
        <v>0</v>
      </c>
      <c r="T44" s="7" t="s">
        <v>0</v>
      </c>
      <c r="U44" s="7" t="s">
        <v>0</v>
      </c>
      <c r="V44" s="7" t="s">
        <v>0</v>
      </c>
      <c r="W44" s="16" t="str">
        <f>HYPERLINK("http://www.aruplab.com/Testing-Information/resources/HotLines/HotLineDocs/Aug2023QHL/0060345.pdf","H")</f>
        <v>H</v>
      </c>
      <c r="X44" s="7" t="s">
        <v>0</v>
      </c>
      <c r="Y44" s="7" t="s">
        <v>0</v>
      </c>
      <c r="Z44" s="7" t="s">
        <v>0</v>
      </c>
      <c r="AA44" s="8">
        <v>45159</v>
      </c>
    </row>
    <row r="45" spans="1:27" ht="45">
      <c r="A45" s="6" t="s">
        <v>141</v>
      </c>
      <c r="B45" s="6" t="s">
        <v>142</v>
      </c>
      <c r="C45" s="6" t="s">
        <v>143</v>
      </c>
      <c r="D45" s="7" t="s">
        <v>0</v>
      </c>
      <c r="E45" s="7" t="s">
        <v>0</v>
      </c>
      <c r="F45" s="7" t="s">
        <v>35</v>
      </c>
      <c r="G45" s="7" t="s">
        <v>0</v>
      </c>
      <c r="H45" s="7" t="s">
        <v>35</v>
      </c>
      <c r="I45" s="7" t="s">
        <v>0</v>
      </c>
      <c r="J45" s="7" t="s">
        <v>0</v>
      </c>
      <c r="K45" s="7" t="s">
        <v>0</v>
      </c>
      <c r="L45" s="7" t="s">
        <v>0</v>
      </c>
      <c r="M45" s="7" t="s">
        <v>0</v>
      </c>
      <c r="N45" s="7" t="s">
        <v>0</v>
      </c>
      <c r="O45" s="7" t="s">
        <v>0</v>
      </c>
      <c r="P45" s="7" t="s">
        <v>0</v>
      </c>
      <c r="Q45" s="7" t="s">
        <v>0</v>
      </c>
      <c r="R45" s="7" t="s">
        <v>0</v>
      </c>
      <c r="S45" s="7" t="s">
        <v>0</v>
      </c>
      <c r="T45" s="7" t="s">
        <v>0</v>
      </c>
      <c r="U45" s="7" t="s">
        <v>0</v>
      </c>
      <c r="V45" s="7" t="s">
        <v>0</v>
      </c>
      <c r="W45" s="16" t="str">
        <f>HYPERLINK("http://www.aruplab.com/Testing-Information/resources/HotLines/HotLineDocs/Aug2023QHL/0060346.pdf","H")</f>
        <v>H</v>
      </c>
      <c r="X45" s="7" t="s">
        <v>0</v>
      </c>
      <c r="Y45" s="7" t="s">
        <v>0</v>
      </c>
      <c r="Z45" s="7" t="s">
        <v>0</v>
      </c>
      <c r="AA45" s="8">
        <v>45159</v>
      </c>
    </row>
    <row r="46" spans="1:27" ht="45">
      <c r="A46" s="6" t="s">
        <v>144</v>
      </c>
      <c r="B46" s="6" t="s">
        <v>145</v>
      </c>
      <c r="C46" s="6" t="s">
        <v>146</v>
      </c>
      <c r="D46" s="7" t="s">
        <v>0</v>
      </c>
      <c r="E46" s="7" t="s">
        <v>0</v>
      </c>
      <c r="F46" s="7" t="s">
        <v>35</v>
      </c>
      <c r="G46" s="7" t="s">
        <v>0</v>
      </c>
      <c r="H46" s="7" t="s">
        <v>35</v>
      </c>
      <c r="I46" s="7" t="s">
        <v>0</v>
      </c>
      <c r="J46" s="7" t="s">
        <v>0</v>
      </c>
      <c r="K46" s="7" t="s">
        <v>0</v>
      </c>
      <c r="L46" s="7" t="s">
        <v>0</v>
      </c>
      <c r="M46" s="7" t="s">
        <v>0</v>
      </c>
      <c r="N46" s="7" t="s">
        <v>0</v>
      </c>
      <c r="O46" s="7" t="s">
        <v>0</v>
      </c>
      <c r="P46" s="7" t="s">
        <v>0</v>
      </c>
      <c r="Q46" s="7" t="s">
        <v>0</v>
      </c>
      <c r="R46" s="7" t="s">
        <v>0</v>
      </c>
      <c r="S46" s="7" t="s">
        <v>0</v>
      </c>
      <c r="T46" s="7" t="s">
        <v>0</v>
      </c>
      <c r="U46" s="7" t="s">
        <v>0</v>
      </c>
      <c r="V46" s="7" t="s">
        <v>0</v>
      </c>
      <c r="W46" s="16" t="str">
        <f>HYPERLINK("http://www.aruplab.com/Testing-Information/resources/HotLines/HotLineDocs/Aug2023QHL/0060706.pdf","H")</f>
        <v>H</v>
      </c>
      <c r="X46" s="7" t="s">
        <v>0</v>
      </c>
      <c r="Y46" s="7" t="s">
        <v>0</v>
      </c>
      <c r="Z46" s="7" t="s">
        <v>0</v>
      </c>
      <c r="AA46" s="8">
        <v>45159</v>
      </c>
    </row>
    <row r="47" spans="1:27" ht="45">
      <c r="A47" s="6" t="s">
        <v>147</v>
      </c>
      <c r="B47" s="6" t="s">
        <v>148</v>
      </c>
      <c r="C47" s="6" t="s">
        <v>149</v>
      </c>
      <c r="D47" s="7" t="s">
        <v>0</v>
      </c>
      <c r="E47" s="7" t="s">
        <v>0</v>
      </c>
      <c r="F47" s="7" t="s">
        <v>35</v>
      </c>
      <c r="G47" s="7" t="s">
        <v>0</v>
      </c>
      <c r="H47" s="7" t="s">
        <v>35</v>
      </c>
      <c r="I47" s="7" t="s">
        <v>0</v>
      </c>
      <c r="J47" s="7" t="s">
        <v>0</v>
      </c>
      <c r="K47" s="7" t="s">
        <v>0</v>
      </c>
      <c r="L47" s="7" t="s">
        <v>0</v>
      </c>
      <c r="M47" s="7" t="s">
        <v>0</v>
      </c>
      <c r="N47" s="7" t="s">
        <v>0</v>
      </c>
      <c r="O47" s="7" t="s">
        <v>0</v>
      </c>
      <c r="P47" s="7" t="s">
        <v>0</v>
      </c>
      <c r="Q47" s="7" t="s">
        <v>0</v>
      </c>
      <c r="R47" s="7" t="s">
        <v>0</v>
      </c>
      <c r="S47" s="7" t="s">
        <v>0</v>
      </c>
      <c r="T47" s="7" t="s">
        <v>0</v>
      </c>
      <c r="U47" s="7" t="s">
        <v>0</v>
      </c>
      <c r="V47" s="7" t="s">
        <v>0</v>
      </c>
      <c r="W47" s="16" t="str">
        <f>HYPERLINK("http://www.aruplab.com/Testing-Information/resources/HotLines/HotLineDocs/Aug2023QHL/0060708.pdf","H")</f>
        <v>H</v>
      </c>
      <c r="X47" s="7" t="s">
        <v>0</v>
      </c>
      <c r="Y47" s="7" t="s">
        <v>0</v>
      </c>
      <c r="Z47" s="7" t="s">
        <v>0</v>
      </c>
      <c r="AA47" s="8">
        <v>45159</v>
      </c>
    </row>
    <row r="48" spans="1:27" ht="90">
      <c r="A48" s="6" t="s">
        <v>150</v>
      </c>
      <c r="B48" s="6" t="s">
        <v>151</v>
      </c>
      <c r="C48" s="6" t="s">
        <v>152</v>
      </c>
      <c r="D48" s="7" t="s">
        <v>0</v>
      </c>
      <c r="E48" s="7" t="s">
        <v>0</v>
      </c>
      <c r="F48" s="7" t="s">
        <v>0</v>
      </c>
      <c r="G48" s="7" t="s">
        <v>0</v>
      </c>
      <c r="H48" s="7" t="s">
        <v>0</v>
      </c>
      <c r="I48" s="7" t="s">
        <v>0</v>
      </c>
      <c r="J48" s="7" t="s">
        <v>0</v>
      </c>
      <c r="K48" s="7" t="s">
        <v>0</v>
      </c>
      <c r="L48" s="7" t="s">
        <v>0</v>
      </c>
      <c r="M48" s="7" t="s">
        <v>0</v>
      </c>
      <c r="N48" s="7" t="s">
        <v>0</v>
      </c>
      <c r="O48" s="7" t="s">
        <v>0</v>
      </c>
      <c r="P48" s="7" t="s">
        <v>0</v>
      </c>
      <c r="Q48" s="7" t="s">
        <v>0</v>
      </c>
      <c r="R48" s="7" t="s">
        <v>0</v>
      </c>
      <c r="S48" s="7" t="s">
        <v>0</v>
      </c>
      <c r="T48" s="7" t="s">
        <v>0</v>
      </c>
      <c r="U48" s="7" t="s">
        <v>35</v>
      </c>
      <c r="V48" s="7" t="s">
        <v>0</v>
      </c>
      <c r="W48" s="16" t="str">
        <f>HYPERLINK("http://www.aruplab.com/Testing-Information/resources/HotLines/HotLineDocs/Aug2023QHL/2023.07.07 Aug Quarterly Hotline Inactivations.pdf","H")</f>
        <v>H</v>
      </c>
      <c r="X48" s="7" t="s">
        <v>0</v>
      </c>
      <c r="Y48" s="7" t="s">
        <v>0</v>
      </c>
      <c r="Z48" s="7" t="s">
        <v>0</v>
      </c>
      <c r="AA48" s="8">
        <v>45159</v>
      </c>
    </row>
    <row r="49" spans="1:27">
      <c r="A49" s="6" t="s">
        <v>153</v>
      </c>
      <c r="B49" s="6" t="s">
        <v>154</v>
      </c>
      <c r="C49" s="6" t="s">
        <v>155</v>
      </c>
      <c r="D49" s="7" t="s">
        <v>0</v>
      </c>
      <c r="E49" s="7" t="s">
        <v>0</v>
      </c>
      <c r="F49" s="7" t="s">
        <v>35</v>
      </c>
      <c r="G49" s="7" t="s">
        <v>0</v>
      </c>
      <c r="H49" s="7" t="s">
        <v>0</v>
      </c>
      <c r="I49" s="7" t="s">
        <v>0</v>
      </c>
      <c r="J49" s="7" t="s">
        <v>35</v>
      </c>
      <c r="K49" s="7" t="s">
        <v>35</v>
      </c>
      <c r="L49" s="7" t="s">
        <v>0</v>
      </c>
      <c r="M49" s="7" t="s">
        <v>0</v>
      </c>
      <c r="N49" s="7" t="s">
        <v>0</v>
      </c>
      <c r="O49" s="7" t="s">
        <v>0</v>
      </c>
      <c r="P49" s="7" t="s">
        <v>0</v>
      </c>
      <c r="Q49" s="7" t="s">
        <v>0</v>
      </c>
      <c r="R49" s="7" t="s">
        <v>0</v>
      </c>
      <c r="S49" s="7" t="s">
        <v>0</v>
      </c>
      <c r="T49" s="7" t="s">
        <v>0</v>
      </c>
      <c r="U49" s="7" t="s">
        <v>0</v>
      </c>
      <c r="V49" s="7" t="s">
        <v>0</v>
      </c>
      <c r="W49" s="16" t="str">
        <f>HYPERLINK("http://www.aruplab.com/Testing-Information/resources/HotLines/HotLineDocs/Aug2023QHL/0070112.pdf","H")</f>
        <v>H</v>
      </c>
      <c r="X49" s="7" t="s">
        <v>0</v>
      </c>
      <c r="Y49" s="7" t="s">
        <v>0</v>
      </c>
      <c r="Z49" s="7" t="s">
        <v>0</v>
      </c>
      <c r="AA49" s="8">
        <v>45159</v>
      </c>
    </row>
    <row r="50" spans="1:27" ht="30">
      <c r="A50" s="6" t="s">
        <v>156</v>
      </c>
      <c r="B50" s="6" t="s">
        <v>157</v>
      </c>
      <c r="C50" s="6" t="s">
        <v>158</v>
      </c>
      <c r="D50" s="7" t="s">
        <v>0</v>
      </c>
      <c r="E50" s="7" t="s">
        <v>0</v>
      </c>
      <c r="F50" s="7" t="s">
        <v>35</v>
      </c>
      <c r="G50" s="7" t="s">
        <v>0</v>
      </c>
      <c r="H50" s="7" t="s">
        <v>35</v>
      </c>
      <c r="I50" s="7" t="s">
        <v>0</v>
      </c>
      <c r="J50" s="7" t="s">
        <v>35</v>
      </c>
      <c r="K50" s="7" t="s">
        <v>35</v>
      </c>
      <c r="L50" s="7" t="s">
        <v>0</v>
      </c>
      <c r="M50" s="7" t="s">
        <v>0</v>
      </c>
      <c r="N50" s="7" t="s">
        <v>0</v>
      </c>
      <c r="O50" s="7" t="s">
        <v>0</v>
      </c>
      <c r="P50" s="7" t="s">
        <v>0</v>
      </c>
      <c r="Q50" s="7" t="s">
        <v>0</v>
      </c>
      <c r="R50" s="7" t="s">
        <v>0</v>
      </c>
      <c r="S50" s="7" t="s">
        <v>0</v>
      </c>
      <c r="T50" s="7" t="s">
        <v>0</v>
      </c>
      <c r="U50" s="7" t="s">
        <v>0</v>
      </c>
      <c r="V50" s="7" t="s">
        <v>0</v>
      </c>
      <c r="W50" s="16" t="str">
        <f>HYPERLINK("http://www.aruplab.com/Testing-Information/resources/HotLines/HotLineDocs/Aug2023QHL/0070256.pdf","H")</f>
        <v>H</v>
      </c>
      <c r="X50" s="7" t="s">
        <v>0</v>
      </c>
      <c r="Y50" s="7" t="s">
        <v>0</v>
      </c>
      <c r="Z50" s="7" t="s">
        <v>0</v>
      </c>
      <c r="AA50" s="8">
        <v>45159</v>
      </c>
    </row>
    <row r="51" spans="1:27" ht="45">
      <c r="A51" s="6" t="s">
        <v>159</v>
      </c>
      <c r="B51" s="6" t="s">
        <v>160</v>
      </c>
      <c r="C51" s="6" t="s">
        <v>161</v>
      </c>
      <c r="D51" s="7" t="s">
        <v>0</v>
      </c>
      <c r="E51" s="7" t="s">
        <v>0</v>
      </c>
      <c r="F51" s="7" t="s">
        <v>0</v>
      </c>
      <c r="G51" s="7" t="s">
        <v>0</v>
      </c>
      <c r="H51" s="7" t="s">
        <v>0</v>
      </c>
      <c r="I51" s="7" t="s">
        <v>0</v>
      </c>
      <c r="J51" s="7" t="s">
        <v>0</v>
      </c>
      <c r="K51" s="7" t="s">
        <v>0</v>
      </c>
      <c r="L51" s="7" t="s">
        <v>0</v>
      </c>
      <c r="M51" s="7" t="s">
        <v>35</v>
      </c>
      <c r="N51" s="7" t="s">
        <v>0</v>
      </c>
      <c r="O51" s="7" t="s">
        <v>0</v>
      </c>
      <c r="P51" s="7" t="s">
        <v>0</v>
      </c>
      <c r="Q51" s="7" t="s">
        <v>0</v>
      </c>
      <c r="R51" s="7" t="s">
        <v>0</v>
      </c>
      <c r="S51" s="7" t="s">
        <v>0</v>
      </c>
      <c r="T51" s="7" t="s">
        <v>0</v>
      </c>
      <c r="U51" s="7" t="s">
        <v>0</v>
      </c>
      <c r="V51" s="7" t="s">
        <v>0</v>
      </c>
      <c r="W51" s="16" t="str">
        <f>HYPERLINK("http://www.aruplab.com/Testing-Information/resources/HotLines/HotLineDocs/Aug2023QHL/0090266.pdf","H")</f>
        <v>H</v>
      </c>
      <c r="X51" s="16" t="str">
        <f>HYPERLINK("http://www.aruplab.com/Testing-Information/resources/HotLines/TDMix/Aug2023QHL/0090266.xlsx","T")</f>
        <v>T</v>
      </c>
      <c r="Y51" s="16" t="str">
        <f>HYPERLINK("http://www.aruplab.com/Testing-Information/resources/HotLines/Sample_Reports/Aug2023QHL/0090266_Cell Surface Epithelial Antibodies, IgG by IIF_IGG EPI AB.pdf","E")</f>
        <v>E</v>
      </c>
      <c r="Z51" s="7" t="s">
        <v>0</v>
      </c>
      <c r="AA51" s="8">
        <v>45159</v>
      </c>
    </row>
    <row r="52" spans="1:27" ht="60">
      <c r="A52" s="6" t="s">
        <v>162</v>
      </c>
      <c r="B52" s="6" t="s">
        <v>163</v>
      </c>
      <c r="C52" s="6" t="s">
        <v>164</v>
      </c>
      <c r="D52" s="7" t="s">
        <v>0</v>
      </c>
      <c r="E52" s="7" t="s">
        <v>0</v>
      </c>
      <c r="F52" s="7" t="s">
        <v>0</v>
      </c>
      <c r="G52" s="7" t="s">
        <v>0</v>
      </c>
      <c r="H52" s="7" t="s">
        <v>0</v>
      </c>
      <c r="I52" s="7" t="s">
        <v>0</v>
      </c>
      <c r="J52" s="7" t="s">
        <v>0</v>
      </c>
      <c r="K52" s="7" t="s">
        <v>0</v>
      </c>
      <c r="L52" s="7" t="s">
        <v>0</v>
      </c>
      <c r="M52" s="7" t="s">
        <v>35</v>
      </c>
      <c r="N52" s="7" t="s">
        <v>0</v>
      </c>
      <c r="O52" s="7" t="s">
        <v>0</v>
      </c>
      <c r="P52" s="7" t="s">
        <v>0</v>
      </c>
      <c r="Q52" s="7" t="s">
        <v>0</v>
      </c>
      <c r="R52" s="7" t="s">
        <v>0</v>
      </c>
      <c r="S52" s="7" t="s">
        <v>0</v>
      </c>
      <c r="T52" s="7" t="s">
        <v>0</v>
      </c>
      <c r="U52" s="7" t="s">
        <v>0</v>
      </c>
      <c r="V52" s="7" t="s">
        <v>0</v>
      </c>
      <c r="W52" s="16" t="str">
        <f>HYPERLINK("http://www.aruplab.com/Testing-Information/resources/HotLines/HotLineDocs/Aug2023QHL/0090299.pdf","H")</f>
        <v>H</v>
      </c>
      <c r="X52" s="16" t="str">
        <f>HYPERLINK("http://www.aruplab.com/Testing-Information/resources/HotLines/TDMix/Aug2023QHL/0090299.xlsx","T")</f>
        <v>T</v>
      </c>
      <c r="Y52" s="16" t="str">
        <f>HYPERLINK("http://www.aruplab.com/Testing-Information/resources/HotLines/Sample_Reports/Aug2023QHL/0090299_Basement Membrane Zone and Cell Surface Epithelial Antibodies, IgG and IgA by IIF_EPITHELIAL.pdf","E")</f>
        <v>E</v>
      </c>
      <c r="Z52" s="7" t="s">
        <v>0</v>
      </c>
      <c r="AA52" s="8">
        <v>45159</v>
      </c>
    </row>
    <row r="53" spans="1:27" ht="75">
      <c r="A53" s="6" t="s">
        <v>165</v>
      </c>
      <c r="B53" s="6" t="s">
        <v>166</v>
      </c>
      <c r="C53" s="6" t="s">
        <v>167</v>
      </c>
      <c r="D53" s="7" t="s">
        <v>0</v>
      </c>
      <c r="E53" s="7" t="s">
        <v>0</v>
      </c>
      <c r="F53" s="7" t="s">
        <v>0</v>
      </c>
      <c r="G53" s="7" t="s">
        <v>0</v>
      </c>
      <c r="H53" s="7" t="s">
        <v>0</v>
      </c>
      <c r="I53" s="7" t="s">
        <v>0</v>
      </c>
      <c r="J53" s="7" t="s">
        <v>0</v>
      </c>
      <c r="K53" s="7" t="s">
        <v>0</v>
      </c>
      <c r="L53" s="7" t="s">
        <v>0</v>
      </c>
      <c r="M53" s="7" t="s">
        <v>0</v>
      </c>
      <c r="N53" s="7" t="s">
        <v>0</v>
      </c>
      <c r="O53" s="7" t="s">
        <v>0</v>
      </c>
      <c r="P53" s="7" t="s">
        <v>0</v>
      </c>
      <c r="Q53" s="7" t="s">
        <v>0</v>
      </c>
      <c r="R53" s="7" t="s">
        <v>0</v>
      </c>
      <c r="S53" s="7" t="s">
        <v>0</v>
      </c>
      <c r="T53" s="7" t="s">
        <v>0</v>
      </c>
      <c r="U53" s="7" t="s">
        <v>35</v>
      </c>
      <c r="V53" s="7" t="s">
        <v>0</v>
      </c>
      <c r="W53" s="16" t="str">
        <f>HYPERLINK("http://www.aruplab.com/Testing-Information/resources/HotLines/HotLineDocs/Aug2023QHL/2023.07.07 Aug Quarterly Hotline Inactivations.pdf","H")</f>
        <v>H</v>
      </c>
      <c r="X53" s="7" t="s">
        <v>0</v>
      </c>
      <c r="Y53" s="7" t="s">
        <v>0</v>
      </c>
      <c r="Z53" s="7" t="s">
        <v>0</v>
      </c>
      <c r="AA53" s="8">
        <v>45159</v>
      </c>
    </row>
    <row r="54" spans="1:27" ht="75">
      <c r="A54" s="6" t="s">
        <v>168</v>
      </c>
      <c r="B54" s="6" t="s">
        <v>169</v>
      </c>
      <c r="C54" s="6" t="s">
        <v>170</v>
      </c>
      <c r="D54" s="7" t="s">
        <v>0</v>
      </c>
      <c r="E54" s="7" t="s">
        <v>0</v>
      </c>
      <c r="F54" s="7" t="s">
        <v>0</v>
      </c>
      <c r="G54" s="7" t="s">
        <v>0</v>
      </c>
      <c r="H54" s="7" t="s">
        <v>0</v>
      </c>
      <c r="I54" s="7" t="s">
        <v>0</v>
      </c>
      <c r="J54" s="7" t="s">
        <v>0</v>
      </c>
      <c r="K54" s="7" t="s">
        <v>0</v>
      </c>
      <c r="L54" s="7" t="s">
        <v>0</v>
      </c>
      <c r="M54" s="7" t="s">
        <v>0</v>
      </c>
      <c r="N54" s="7" t="s">
        <v>0</v>
      </c>
      <c r="O54" s="7" t="s">
        <v>0</v>
      </c>
      <c r="P54" s="7" t="s">
        <v>0</v>
      </c>
      <c r="Q54" s="7" t="s">
        <v>0</v>
      </c>
      <c r="R54" s="7" t="s">
        <v>0</v>
      </c>
      <c r="S54" s="7" t="s">
        <v>0</v>
      </c>
      <c r="T54" s="7" t="s">
        <v>0</v>
      </c>
      <c r="U54" s="7" t="s">
        <v>35</v>
      </c>
      <c r="V54" s="7" t="s">
        <v>0</v>
      </c>
      <c r="W54" s="16" t="str">
        <f>HYPERLINK("http://www.aruplab.com/Testing-Information/resources/HotLines/HotLineDocs/Aug2023QHL/2023.07.07 Aug Quarterly Hotline Inactivations.pdf","H")</f>
        <v>H</v>
      </c>
      <c r="X54" s="7" t="s">
        <v>0</v>
      </c>
      <c r="Y54" s="7" t="s">
        <v>0</v>
      </c>
      <c r="Z54" s="7" t="s">
        <v>0</v>
      </c>
      <c r="AA54" s="8">
        <v>45159</v>
      </c>
    </row>
    <row r="55" spans="1:27" ht="75">
      <c r="A55" s="6" t="s">
        <v>171</v>
      </c>
      <c r="B55" s="6" t="s">
        <v>172</v>
      </c>
      <c r="C55" s="6" t="s">
        <v>173</v>
      </c>
      <c r="D55" s="7" t="s">
        <v>0</v>
      </c>
      <c r="E55" s="7" t="s">
        <v>0</v>
      </c>
      <c r="F55" s="7" t="s">
        <v>0</v>
      </c>
      <c r="G55" s="7" t="s">
        <v>0</v>
      </c>
      <c r="H55" s="7" t="s">
        <v>0</v>
      </c>
      <c r="I55" s="7" t="s">
        <v>0</v>
      </c>
      <c r="J55" s="7" t="s">
        <v>0</v>
      </c>
      <c r="K55" s="7" t="s">
        <v>0</v>
      </c>
      <c r="L55" s="7" t="s">
        <v>0</v>
      </c>
      <c r="M55" s="7" t="s">
        <v>0</v>
      </c>
      <c r="N55" s="7" t="s">
        <v>0</v>
      </c>
      <c r="O55" s="7" t="s">
        <v>0</v>
      </c>
      <c r="P55" s="7" t="s">
        <v>0</v>
      </c>
      <c r="Q55" s="7" t="s">
        <v>0</v>
      </c>
      <c r="R55" s="7" t="s">
        <v>0</v>
      </c>
      <c r="S55" s="7" t="s">
        <v>0</v>
      </c>
      <c r="T55" s="7" t="s">
        <v>0</v>
      </c>
      <c r="U55" s="7" t="s">
        <v>35</v>
      </c>
      <c r="V55" s="7" t="s">
        <v>0</v>
      </c>
      <c r="W55" s="16" t="str">
        <f>HYPERLINK("http://www.aruplab.com/Testing-Information/resources/HotLines/HotLineDocs/Aug2023QHL/2023.07.07 Aug Quarterly Hotline Inactivations.pdf","H")</f>
        <v>H</v>
      </c>
      <c r="X55" s="7" t="s">
        <v>0</v>
      </c>
      <c r="Y55" s="7" t="s">
        <v>0</v>
      </c>
      <c r="Z55" s="7" t="s">
        <v>0</v>
      </c>
      <c r="AA55" s="8">
        <v>45159</v>
      </c>
    </row>
    <row r="56" spans="1:27" ht="75">
      <c r="A56" s="6" t="s">
        <v>174</v>
      </c>
      <c r="B56" s="6" t="s">
        <v>175</v>
      </c>
      <c r="C56" s="6" t="s">
        <v>176</v>
      </c>
      <c r="D56" s="7" t="s">
        <v>0</v>
      </c>
      <c r="E56" s="7" t="s">
        <v>0</v>
      </c>
      <c r="F56" s="7" t="s">
        <v>0</v>
      </c>
      <c r="G56" s="7" t="s">
        <v>0</v>
      </c>
      <c r="H56" s="7" t="s">
        <v>0</v>
      </c>
      <c r="I56" s="7" t="s">
        <v>0</v>
      </c>
      <c r="J56" s="7" t="s">
        <v>0</v>
      </c>
      <c r="K56" s="7" t="s">
        <v>0</v>
      </c>
      <c r="L56" s="7" t="s">
        <v>0</v>
      </c>
      <c r="M56" s="7" t="s">
        <v>0</v>
      </c>
      <c r="N56" s="7" t="s">
        <v>0</v>
      </c>
      <c r="O56" s="7" t="s">
        <v>0</v>
      </c>
      <c r="P56" s="7" t="s">
        <v>0</v>
      </c>
      <c r="Q56" s="7" t="s">
        <v>0</v>
      </c>
      <c r="R56" s="7" t="s">
        <v>0</v>
      </c>
      <c r="S56" s="7" t="s">
        <v>0</v>
      </c>
      <c r="T56" s="7" t="s">
        <v>0</v>
      </c>
      <c r="U56" s="7" t="s">
        <v>35</v>
      </c>
      <c r="V56" s="7" t="s">
        <v>0</v>
      </c>
      <c r="W56" s="16" t="str">
        <f>HYPERLINK("http://www.aruplab.com/Testing-Information/resources/HotLines/HotLineDocs/Aug2023QHL/2023.07.07 Aug Quarterly Hotline Inactivations.pdf","H")</f>
        <v>H</v>
      </c>
      <c r="X56" s="7" t="s">
        <v>0</v>
      </c>
      <c r="Y56" s="7" t="s">
        <v>0</v>
      </c>
      <c r="Z56" s="7" t="s">
        <v>0</v>
      </c>
      <c r="AA56" s="8">
        <v>45159</v>
      </c>
    </row>
    <row r="57" spans="1:27" ht="90">
      <c r="A57" s="6" t="s">
        <v>177</v>
      </c>
      <c r="B57" s="6" t="s">
        <v>178</v>
      </c>
      <c r="C57" s="6" t="s">
        <v>179</v>
      </c>
      <c r="D57" s="7" t="s">
        <v>0</v>
      </c>
      <c r="E57" s="7" t="s">
        <v>0</v>
      </c>
      <c r="F57" s="7" t="s">
        <v>0</v>
      </c>
      <c r="G57" s="7" t="s">
        <v>0</v>
      </c>
      <c r="H57" s="7" t="s">
        <v>0</v>
      </c>
      <c r="I57" s="7" t="s">
        <v>0</v>
      </c>
      <c r="J57" s="7" t="s">
        <v>0</v>
      </c>
      <c r="K57" s="7" t="s">
        <v>0</v>
      </c>
      <c r="L57" s="7" t="s">
        <v>0</v>
      </c>
      <c r="M57" s="7" t="s">
        <v>0</v>
      </c>
      <c r="N57" s="7" t="s">
        <v>0</v>
      </c>
      <c r="O57" s="7" t="s">
        <v>0</v>
      </c>
      <c r="P57" s="7" t="s">
        <v>0</v>
      </c>
      <c r="Q57" s="7" t="s">
        <v>0</v>
      </c>
      <c r="R57" s="7" t="s">
        <v>0</v>
      </c>
      <c r="S57" s="7" t="s">
        <v>0</v>
      </c>
      <c r="T57" s="7" t="s">
        <v>0</v>
      </c>
      <c r="U57" s="7" t="s">
        <v>35</v>
      </c>
      <c r="V57" s="7" t="s">
        <v>0</v>
      </c>
      <c r="W57" s="16" t="str">
        <f>HYPERLINK("http://www.aruplab.com/Testing-Information/resources/HotLines/HotLineDocs/Aug2023QHL/2023.07.07 Aug Quarterly Hotline Inactivations.pdf","H")</f>
        <v>H</v>
      </c>
      <c r="X57" s="7" t="s">
        <v>0</v>
      </c>
      <c r="Y57" s="7" t="s">
        <v>0</v>
      </c>
      <c r="Z57" s="7" t="s">
        <v>0</v>
      </c>
      <c r="AA57" s="8">
        <v>45159</v>
      </c>
    </row>
    <row r="58" spans="1:27" ht="45">
      <c r="A58" s="6" t="s">
        <v>180</v>
      </c>
      <c r="B58" s="6" t="s">
        <v>181</v>
      </c>
      <c r="C58" s="6" t="s">
        <v>182</v>
      </c>
      <c r="D58" s="7" t="s">
        <v>0</v>
      </c>
      <c r="E58" s="7" t="s">
        <v>0</v>
      </c>
      <c r="F58" s="7" t="s">
        <v>0</v>
      </c>
      <c r="G58" s="7" t="s">
        <v>0</v>
      </c>
      <c r="H58" s="7" t="s">
        <v>0</v>
      </c>
      <c r="I58" s="7" t="s">
        <v>0</v>
      </c>
      <c r="J58" s="7" t="s">
        <v>0</v>
      </c>
      <c r="K58" s="7" t="s">
        <v>0</v>
      </c>
      <c r="L58" s="7" t="s">
        <v>0</v>
      </c>
      <c r="M58" s="7" t="s">
        <v>35</v>
      </c>
      <c r="N58" s="7" t="s">
        <v>0</v>
      </c>
      <c r="O58" s="7" t="s">
        <v>0</v>
      </c>
      <c r="P58" s="7" t="s">
        <v>0</v>
      </c>
      <c r="Q58" s="7" t="s">
        <v>0</v>
      </c>
      <c r="R58" s="7" t="s">
        <v>0</v>
      </c>
      <c r="S58" s="7" t="s">
        <v>0</v>
      </c>
      <c r="T58" s="7" t="s">
        <v>0</v>
      </c>
      <c r="U58" s="7" t="s">
        <v>0</v>
      </c>
      <c r="V58" s="7" t="s">
        <v>0</v>
      </c>
      <c r="W58" s="16" t="str">
        <f>HYPERLINK("http://www.aruplab.com/Testing-Information/resources/HotLines/HotLineDocs/Aug2023QHL/0092056.pdf","H")</f>
        <v>H</v>
      </c>
      <c r="X58" s="16" t="str">
        <f>HYPERLINK("http://www.aruplab.com/Testing-Information/resources/HotLines/TDMix/Aug2023QHL/0092056.xlsx","T")</f>
        <v>T</v>
      </c>
      <c r="Y58" s="16" t="str">
        <f>HYPERLINK("http://www.aruplab.com/Testing-Information/resources/HotLines/Sample_Reports/Aug2023QHL/0092056_Basement Membrane Zone Epithelial Antibodies, IgG by IIF_EBMZ IGG.pdf","E")</f>
        <v>E</v>
      </c>
      <c r="Z58" s="7" t="s">
        <v>0</v>
      </c>
      <c r="AA58" s="8">
        <v>45159</v>
      </c>
    </row>
    <row r="59" spans="1:27" ht="45">
      <c r="A59" s="6" t="s">
        <v>183</v>
      </c>
      <c r="B59" s="6" t="s">
        <v>184</v>
      </c>
      <c r="C59" s="6" t="s">
        <v>185</v>
      </c>
      <c r="D59" s="7" t="s">
        <v>0</v>
      </c>
      <c r="E59" s="7" t="s">
        <v>0</v>
      </c>
      <c r="F59" s="7" t="s">
        <v>0</v>
      </c>
      <c r="G59" s="7" t="s">
        <v>0</v>
      </c>
      <c r="H59" s="7" t="s">
        <v>0</v>
      </c>
      <c r="I59" s="7" t="s">
        <v>0</v>
      </c>
      <c r="J59" s="7" t="s">
        <v>0</v>
      </c>
      <c r="K59" s="7" t="s">
        <v>0</v>
      </c>
      <c r="L59" s="7" t="s">
        <v>0</v>
      </c>
      <c r="M59" s="7" t="s">
        <v>35</v>
      </c>
      <c r="N59" s="7" t="s">
        <v>0</v>
      </c>
      <c r="O59" s="7" t="s">
        <v>0</v>
      </c>
      <c r="P59" s="7" t="s">
        <v>0</v>
      </c>
      <c r="Q59" s="7" t="s">
        <v>0</v>
      </c>
      <c r="R59" s="7" t="s">
        <v>0</v>
      </c>
      <c r="S59" s="7" t="s">
        <v>0</v>
      </c>
      <c r="T59" s="7" t="s">
        <v>0</v>
      </c>
      <c r="U59" s="7" t="s">
        <v>0</v>
      </c>
      <c r="V59" s="7" t="s">
        <v>0</v>
      </c>
      <c r="W59" s="16" t="str">
        <f>HYPERLINK("http://www.aruplab.com/Testing-Information/resources/HotLines/HotLineDocs/Aug2023QHL/0092057.pdf","H")</f>
        <v>H</v>
      </c>
      <c r="X59" s="16" t="str">
        <f>HYPERLINK("http://www.aruplab.com/Testing-Information/resources/HotLines/TDMix/Aug2023QHL/0092057.xlsx","T")</f>
        <v>T</v>
      </c>
      <c r="Y59" s="16" t="str">
        <f>HYPERLINK("http://www.aruplab.com/Testing-Information/resources/HotLines/Sample_Reports/Aug2023QHL/0092057_Basement Membrane Zone Epithelial Antibodies, IgA by IIF_EBMZ IGA.pdf","E")</f>
        <v>E</v>
      </c>
      <c r="Z59" s="7" t="s">
        <v>0</v>
      </c>
      <c r="AA59" s="8">
        <v>45159</v>
      </c>
    </row>
    <row r="60" spans="1:27" ht="30">
      <c r="A60" s="6" t="s">
        <v>186</v>
      </c>
      <c r="B60" s="6" t="s">
        <v>187</v>
      </c>
      <c r="C60" s="6" t="s">
        <v>188</v>
      </c>
      <c r="D60" s="7" t="s">
        <v>0</v>
      </c>
      <c r="E60" s="7" t="s">
        <v>0</v>
      </c>
      <c r="F60" s="7" t="s">
        <v>0</v>
      </c>
      <c r="G60" s="7" t="s">
        <v>0</v>
      </c>
      <c r="H60" s="7" t="s">
        <v>0</v>
      </c>
      <c r="I60" s="7" t="s">
        <v>0</v>
      </c>
      <c r="J60" s="7" t="s">
        <v>0</v>
      </c>
      <c r="K60" s="7" t="s">
        <v>0</v>
      </c>
      <c r="L60" s="7" t="s">
        <v>0</v>
      </c>
      <c r="M60" s="7" t="s">
        <v>35</v>
      </c>
      <c r="N60" s="7" t="s">
        <v>0</v>
      </c>
      <c r="O60" s="7" t="s">
        <v>0</v>
      </c>
      <c r="P60" s="7" t="s">
        <v>0</v>
      </c>
      <c r="Q60" s="7" t="s">
        <v>0</v>
      </c>
      <c r="R60" s="7" t="s">
        <v>0</v>
      </c>
      <c r="S60" s="7" t="s">
        <v>0</v>
      </c>
      <c r="T60" s="7" t="s">
        <v>0</v>
      </c>
      <c r="U60" s="7" t="s">
        <v>0</v>
      </c>
      <c r="V60" s="7" t="s">
        <v>0</v>
      </c>
      <c r="W60" s="16" t="str">
        <f>HYPERLINK("http://www.aruplab.com/Testing-Information/resources/HotLines/HotLineDocs/Aug2023QHL/0092106.pdf","H")</f>
        <v>H</v>
      </c>
      <c r="X60" s="16" t="str">
        <f>HYPERLINK("http://www.aruplab.com/Testing-Information/resources/HotLines/TDMix/Aug2023QHL/0092106.xlsx","T")</f>
        <v>T</v>
      </c>
      <c r="Y60" s="16" t="str">
        <f>HYPERLINK("http://www.aruplab.com/Testing-Information/resources/HotLines/Sample_Reports/Aug2023QHL/0092106_Pemphigus Antibodies, IgA by IIF_IGA PEMPHI.pdf","E")</f>
        <v>E</v>
      </c>
      <c r="Z60" s="7" t="s">
        <v>0</v>
      </c>
      <c r="AA60" s="8">
        <v>45159</v>
      </c>
    </row>
    <row r="61" spans="1:27" ht="105">
      <c r="A61" s="6" t="s">
        <v>189</v>
      </c>
      <c r="B61" s="6" t="s">
        <v>190</v>
      </c>
      <c r="C61" s="6" t="s">
        <v>191</v>
      </c>
      <c r="D61" s="7" t="s">
        <v>0</v>
      </c>
      <c r="E61" s="7" t="s">
        <v>0</v>
      </c>
      <c r="F61" s="7" t="s">
        <v>0</v>
      </c>
      <c r="G61" s="7" t="s">
        <v>0</v>
      </c>
      <c r="H61" s="7" t="s">
        <v>0</v>
      </c>
      <c r="I61" s="7" t="s">
        <v>0</v>
      </c>
      <c r="J61" s="7" t="s">
        <v>0</v>
      </c>
      <c r="K61" s="7" t="s">
        <v>0</v>
      </c>
      <c r="L61" s="7" t="s">
        <v>0</v>
      </c>
      <c r="M61" s="7" t="s">
        <v>35</v>
      </c>
      <c r="N61" s="7" t="s">
        <v>0</v>
      </c>
      <c r="O61" s="7" t="s">
        <v>0</v>
      </c>
      <c r="P61" s="7" t="s">
        <v>0</v>
      </c>
      <c r="Q61" s="7" t="s">
        <v>0</v>
      </c>
      <c r="R61" s="7" t="s">
        <v>0</v>
      </c>
      <c r="S61" s="7" t="s">
        <v>0</v>
      </c>
      <c r="T61" s="7" t="s">
        <v>0</v>
      </c>
      <c r="U61" s="7" t="s">
        <v>0</v>
      </c>
      <c r="V61" s="7" t="s">
        <v>0</v>
      </c>
      <c r="W61" s="16" t="str">
        <f>HYPERLINK("http://www.aruplab.com/Testing-Information/resources/HotLines/HotLineDocs/Aug2023QHL/0092107.pdf","H")</f>
        <v>H</v>
      </c>
      <c r="X61" s="16" t="str">
        <f>HYPERLINK("http://www.aruplab.com/Testing-Information/resources/HotLines/TDMix/Aug2023QHL/0092107.xlsx","T")</f>
        <v>T</v>
      </c>
      <c r="Y61" s="16" t="str">
        <f>HYPERLINK("http://www.aruplab.com/Testing-Information/resources/HotLines/Sample_Reports/Aug2023QHL/0092107_ Paraneoplastic Pemphigus Paraneoplastic Autoimmune Multiorgan Syndrome Antibody Screening Panel_PARA PEMPH.pdf","E")</f>
        <v>E</v>
      </c>
      <c r="Z61" s="7" t="s">
        <v>0</v>
      </c>
      <c r="AA61" s="8">
        <v>45159</v>
      </c>
    </row>
    <row r="62" spans="1:27" ht="90">
      <c r="A62" s="6" t="s">
        <v>192</v>
      </c>
      <c r="B62" s="6" t="s">
        <v>193</v>
      </c>
      <c r="C62" s="6" t="s">
        <v>194</v>
      </c>
      <c r="D62" s="7" t="s">
        <v>0</v>
      </c>
      <c r="E62" s="7" t="s">
        <v>0</v>
      </c>
      <c r="F62" s="7" t="s">
        <v>0</v>
      </c>
      <c r="G62" s="7" t="s">
        <v>0</v>
      </c>
      <c r="H62" s="7" t="s">
        <v>0</v>
      </c>
      <c r="I62" s="7" t="s">
        <v>0</v>
      </c>
      <c r="J62" s="7" t="s">
        <v>0</v>
      </c>
      <c r="K62" s="7" t="s">
        <v>0</v>
      </c>
      <c r="L62" s="7" t="s">
        <v>0</v>
      </c>
      <c r="M62" s="7" t="s">
        <v>35</v>
      </c>
      <c r="N62" s="7" t="s">
        <v>0</v>
      </c>
      <c r="O62" s="7" t="s">
        <v>0</v>
      </c>
      <c r="P62" s="7" t="s">
        <v>0</v>
      </c>
      <c r="Q62" s="7" t="s">
        <v>0</v>
      </c>
      <c r="R62" s="7" t="s">
        <v>0</v>
      </c>
      <c r="S62" s="7" t="s">
        <v>0</v>
      </c>
      <c r="T62" s="7" t="s">
        <v>0</v>
      </c>
      <c r="U62" s="7" t="s">
        <v>0</v>
      </c>
      <c r="V62" s="7" t="s">
        <v>0</v>
      </c>
      <c r="W62" s="16" t="str">
        <f>HYPERLINK("http://www.aruplab.com/Testing-Information/resources/HotLines/HotLineDocs/Aug2023QHL/0092283.pdf","H")</f>
        <v>H</v>
      </c>
      <c r="X62" s="16" t="str">
        <f>HYPERLINK("http://www.aruplab.com/Testing-Information/resources/HotLines/TDMix/Aug2023QHL/0092283.xlsx","T")</f>
        <v>T</v>
      </c>
      <c r="Y62" s="16" t="str">
        <f>HYPERLINK("http://www.aruplab.com/Testing-Information/resources/HotLines/Sample_Reports/Aug2023QHL/0092283_Pemphigoid Gestationis, Complement-Fixing Basement Membrane Antibodies Herpes Gestationis Factor_HG FACTOR.pdf","E")</f>
        <v>E</v>
      </c>
      <c r="Z62" s="7" t="s">
        <v>0</v>
      </c>
      <c r="AA62" s="8">
        <v>45159</v>
      </c>
    </row>
    <row r="63" spans="1:27">
      <c r="A63" s="6" t="s">
        <v>195</v>
      </c>
      <c r="B63" s="6" t="s">
        <v>196</v>
      </c>
      <c r="C63" s="6" t="s">
        <v>197</v>
      </c>
      <c r="D63" s="7" t="s">
        <v>0</v>
      </c>
      <c r="E63" s="7" t="s">
        <v>0</v>
      </c>
      <c r="F63" s="7" t="s">
        <v>35</v>
      </c>
      <c r="G63" s="7" t="s">
        <v>35</v>
      </c>
      <c r="H63" s="7" t="s">
        <v>35</v>
      </c>
      <c r="I63" s="7" t="s">
        <v>0</v>
      </c>
      <c r="J63" s="7" t="s">
        <v>0</v>
      </c>
      <c r="K63" s="7" t="s">
        <v>0</v>
      </c>
      <c r="L63" s="7" t="s">
        <v>0</v>
      </c>
      <c r="M63" s="7" t="s">
        <v>0</v>
      </c>
      <c r="N63" s="7" t="s">
        <v>0</v>
      </c>
      <c r="O63" s="7" t="s">
        <v>0</v>
      </c>
      <c r="P63" s="7" t="s">
        <v>0</v>
      </c>
      <c r="Q63" s="7" t="s">
        <v>0</v>
      </c>
      <c r="R63" s="7" t="s">
        <v>0</v>
      </c>
      <c r="S63" s="7" t="s">
        <v>0</v>
      </c>
      <c r="T63" s="7" t="s">
        <v>0</v>
      </c>
      <c r="U63" s="7" t="s">
        <v>0</v>
      </c>
      <c r="V63" s="7" t="s">
        <v>0</v>
      </c>
      <c r="W63" s="16" t="str">
        <f>HYPERLINK("http://www.aruplab.com/Testing-Information/resources/HotLines/HotLineDocs/Aug2023QHL/0094030.pdf","H")</f>
        <v>H</v>
      </c>
      <c r="X63" s="7" t="s">
        <v>0</v>
      </c>
      <c r="Y63" s="7" t="s">
        <v>0</v>
      </c>
      <c r="Z63" s="7" t="s">
        <v>0</v>
      </c>
      <c r="AA63" s="8">
        <v>45159</v>
      </c>
    </row>
    <row r="64" spans="1:27" ht="45">
      <c r="A64" s="6" t="s">
        <v>198</v>
      </c>
      <c r="B64" s="6" t="s">
        <v>199</v>
      </c>
      <c r="C64" s="6" t="s">
        <v>200</v>
      </c>
      <c r="D64" s="7" t="s">
        <v>0</v>
      </c>
      <c r="E64" s="7" t="s">
        <v>0</v>
      </c>
      <c r="F64" s="7" t="s">
        <v>0</v>
      </c>
      <c r="G64" s="7" t="s">
        <v>0</v>
      </c>
      <c r="H64" s="7" t="s">
        <v>35</v>
      </c>
      <c r="I64" s="7" t="s">
        <v>0</v>
      </c>
      <c r="J64" s="7" t="s">
        <v>0</v>
      </c>
      <c r="K64" s="7" t="s">
        <v>0</v>
      </c>
      <c r="L64" s="7" t="s">
        <v>0</v>
      </c>
      <c r="M64" s="7" t="s">
        <v>0</v>
      </c>
      <c r="N64" s="7" t="s">
        <v>0</v>
      </c>
      <c r="O64" s="7" t="s">
        <v>0</v>
      </c>
      <c r="P64" s="7" t="s">
        <v>0</v>
      </c>
      <c r="Q64" s="7" t="s">
        <v>0</v>
      </c>
      <c r="R64" s="7" t="s">
        <v>0</v>
      </c>
      <c r="S64" s="7" t="s">
        <v>0</v>
      </c>
      <c r="T64" s="7" t="s">
        <v>0</v>
      </c>
      <c r="U64" s="7" t="s">
        <v>0</v>
      </c>
      <c r="V64" s="7" t="s">
        <v>0</v>
      </c>
      <c r="W64" s="16" t="str">
        <f>HYPERLINK("http://www.aruplab.com/Testing-Information/resources/HotLines/HotLineDocs/Aug2023QHL/0097709.pdf","H")</f>
        <v>H</v>
      </c>
      <c r="X64" s="7" t="s">
        <v>0</v>
      </c>
      <c r="Y64" s="7" t="s">
        <v>0</v>
      </c>
      <c r="Z64" s="7" t="s">
        <v>0</v>
      </c>
      <c r="AA64" s="8">
        <v>45159</v>
      </c>
    </row>
    <row r="65" spans="1:27" ht="60">
      <c r="A65" s="6" t="s">
        <v>201</v>
      </c>
      <c r="B65" s="6" t="s">
        <v>202</v>
      </c>
      <c r="C65" s="6" t="s">
        <v>203</v>
      </c>
      <c r="D65" s="7" t="s">
        <v>0</v>
      </c>
      <c r="E65" s="7" t="s">
        <v>0</v>
      </c>
      <c r="F65" s="7" t="s">
        <v>0</v>
      </c>
      <c r="G65" s="7" t="s">
        <v>0</v>
      </c>
      <c r="H65" s="7" t="s">
        <v>0</v>
      </c>
      <c r="I65" s="7" t="s">
        <v>0</v>
      </c>
      <c r="J65" s="7" t="s">
        <v>0</v>
      </c>
      <c r="K65" s="7" t="s">
        <v>0</v>
      </c>
      <c r="L65" s="7" t="s">
        <v>0</v>
      </c>
      <c r="M65" s="7" t="s">
        <v>0</v>
      </c>
      <c r="N65" s="7" t="s">
        <v>0</v>
      </c>
      <c r="O65" s="7" t="s">
        <v>0</v>
      </c>
      <c r="P65" s="7" t="s">
        <v>0</v>
      </c>
      <c r="Q65" s="7" t="s">
        <v>0</v>
      </c>
      <c r="R65" s="7" t="s">
        <v>0</v>
      </c>
      <c r="S65" s="7" t="s">
        <v>0</v>
      </c>
      <c r="T65" s="7" t="s">
        <v>0</v>
      </c>
      <c r="U65" s="7" t="s">
        <v>0</v>
      </c>
      <c r="V65" s="7" t="s">
        <v>35</v>
      </c>
      <c r="W65" s="16" t="str">
        <f>HYPERLINK("http://www.aruplab.com/Testing-Information/resources/HotLines/HotLineDocs/Aug2023QHL/2023.07.07 Aug Quarterly Hotline Inactivations.pdf","H")</f>
        <v>H</v>
      </c>
      <c r="X65" s="7" t="s">
        <v>0</v>
      </c>
      <c r="Y65" s="7" t="s">
        <v>0</v>
      </c>
      <c r="Z65" s="7" t="s">
        <v>0</v>
      </c>
      <c r="AA65" s="8">
        <v>45159</v>
      </c>
    </row>
    <row r="66" spans="1:27" ht="60">
      <c r="A66" s="6" t="s">
        <v>204</v>
      </c>
      <c r="B66" s="6" t="s">
        <v>205</v>
      </c>
      <c r="C66" s="6" t="s">
        <v>206</v>
      </c>
      <c r="D66" s="7" t="s">
        <v>0</v>
      </c>
      <c r="E66" s="7" t="s">
        <v>0</v>
      </c>
      <c r="F66" s="7" t="s">
        <v>35</v>
      </c>
      <c r="G66" s="7" t="s">
        <v>0</v>
      </c>
      <c r="H66" s="7" t="s">
        <v>0</v>
      </c>
      <c r="I66" s="7" t="s">
        <v>35</v>
      </c>
      <c r="J66" s="7" t="s">
        <v>0</v>
      </c>
      <c r="K66" s="7" t="s">
        <v>35</v>
      </c>
      <c r="L66" s="7" t="s">
        <v>0</v>
      </c>
      <c r="M66" s="7" t="s">
        <v>0</v>
      </c>
      <c r="N66" s="7" t="s">
        <v>0</v>
      </c>
      <c r="O66" s="7" t="s">
        <v>0</v>
      </c>
      <c r="P66" s="7" t="s">
        <v>0</v>
      </c>
      <c r="Q66" s="7" t="s">
        <v>0</v>
      </c>
      <c r="R66" s="7" t="s">
        <v>0</v>
      </c>
      <c r="S66" s="7" t="s">
        <v>0</v>
      </c>
      <c r="T66" s="7" t="s">
        <v>0</v>
      </c>
      <c r="U66" s="7" t="s">
        <v>0</v>
      </c>
      <c r="V66" s="7" t="s">
        <v>0</v>
      </c>
      <c r="W66" s="16" t="str">
        <f>HYPERLINK("http://www.aruplab.com/Testing-Information/resources/HotLines/HotLineDocs/Aug2023QHL/2001743.pdf","H")</f>
        <v>H</v>
      </c>
      <c r="X66" s="7" t="s">
        <v>0</v>
      </c>
      <c r="Y66" s="7" t="s">
        <v>0</v>
      </c>
      <c r="Z66" s="7" t="s">
        <v>0</v>
      </c>
      <c r="AA66" s="8">
        <v>45159</v>
      </c>
    </row>
    <row r="67" spans="1:27" ht="30">
      <c r="A67" s="6" t="s">
        <v>207</v>
      </c>
      <c r="B67" s="6" t="s">
        <v>208</v>
      </c>
      <c r="C67" s="6" t="s">
        <v>209</v>
      </c>
      <c r="D67" s="7" t="s">
        <v>0</v>
      </c>
      <c r="E67" s="7" t="s">
        <v>35</v>
      </c>
      <c r="F67" s="7" t="s">
        <v>0</v>
      </c>
      <c r="G67" s="7" t="s">
        <v>0</v>
      </c>
      <c r="H67" s="7" t="s">
        <v>0</v>
      </c>
      <c r="I67" s="7" t="s">
        <v>0</v>
      </c>
      <c r="J67" s="7" t="s">
        <v>35</v>
      </c>
      <c r="K67" s="7" t="s">
        <v>0</v>
      </c>
      <c r="L67" s="7" t="s">
        <v>0</v>
      </c>
      <c r="M67" s="7" t="s">
        <v>35</v>
      </c>
      <c r="N67" s="7" t="s">
        <v>0</v>
      </c>
      <c r="O67" s="7" t="s">
        <v>0</v>
      </c>
      <c r="P67" s="7" t="s">
        <v>0</v>
      </c>
      <c r="Q67" s="7" t="s">
        <v>0</v>
      </c>
      <c r="R67" s="7" t="s">
        <v>0</v>
      </c>
      <c r="S67" s="7" t="s">
        <v>0</v>
      </c>
      <c r="T67" s="7" t="s">
        <v>0</v>
      </c>
      <c r="U67" s="7" t="s">
        <v>0</v>
      </c>
      <c r="V67" s="7" t="s">
        <v>0</v>
      </c>
      <c r="W67" s="16" t="str">
        <f>HYPERLINK("http://www.aruplab.com/Testing-Information/resources/HotLines/HotLineDocs/Aug2023QHL/2003128.pdf","H")</f>
        <v>H</v>
      </c>
      <c r="X67" s="16" t="str">
        <f>HYPERLINK("http://www.aruplab.com/Testing-Information/resources/HotLines/TDMix/Aug2023QHL/2003128.xlsx","T")</f>
        <v>T</v>
      </c>
      <c r="Y67" s="16" t="str">
        <f>HYPERLINK("http://www.aruplab.com/Testing-Information/resources/HotLines/Sample_Reports/Aug2023QHL/2003128_Tapentadol Urine, Quantitative_TAPENTA UR.pdf","E")</f>
        <v>E</v>
      </c>
      <c r="Z67" s="7" t="s">
        <v>0</v>
      </c>
      <c r="AA67" s="8">
        <v>45159</v>
      </c>
    </row>
    <row r="68" spans="1:27" ht="30">
      <c r="A68" s="6" t="s">
        <v>210</v>
      </c>
      <c r="B68" s="6" t="s">
        <v>211</v>
      </c>
      <c r="C68" s="6" t="s">
        <v>212</v>
      </c>
      <c r="D68" s="7" t="s">
        <v>0</v>
      </c>
      <c r="E68" s="7" t="s">
        <v>0</v>
      </c>
      <c r="F68" s="7" t="s">
        <v>35</v>
      </c>
      <c r="G68" s="7" t="s">
        <v>0</v>
      </c>
      <c r="H68" s="7" t="s">
        <v>35</v>
      </c>
      <c r="I68" s="7" t="s">
        <v>0</v>
      </c>
      <c r="J68" s="7" t="s">
        <v>0</v>
      </c>
      <c r="K68" s="7" t="s">
        <v>0</v>
      </c>
      <c r="L68" s="7" t="s">
        <v>0</v>
      </c>
      <c r="M68" s="7" t="s">
        <v>0</v>
      </c>
      <c r="N68" s="7" t="s">
        <v>0</v>
      </c>
      <c r="O68" s="7" t="s">
        <v>0</v>
      </c>
      <c r="P68" s="7" t="s">
        <v>0</v>
      </c>
      <c r="Q68" s="7" t="s">
        <v>0</v>
      </c>
      <c r="R68" s="7" t="s">
        <v>0</v>
      </c>
      <c r="S68" s="7" t="s">
        <v>0</v>
      </c>
      <c r="T68" s="7" t="s">
        <v>0</v>
      </c>
      <c r="U68" s="7" t="s">
        <v>0</v>
      </c>
      <c r="V68" s="7" t="s">
        <v>0</v>
      </c>
      <c r="W68" s="16" t="str">
        <f>HYPERLINK("http://www.aruplab.com/Testing-Information/resources/HotLines/HotLineDocs/Aug2023QHL/2003176.pdf","H")</f>
        <v>H</v>
      </c>
      <c r="X68" s="7" t="s">
        <v>0</v>
      </c>
      <c r="Y68" s="7" t="s">
        <v>0</v>
      </c>
      <c r="Z68" s="7" t="s">
        <v>0</v>
      </c>
      <c r="AA68" s="8">
        <v>45159</v>
      </c>
    </row>
    <row r="69" spans="1:27" ht="30">
      <c r="A69" s="6" t="s">
        <v>213</v>
      </c>
      <c r="B69" s="6" t="s">
        <v>214</v>
      </c>
      <c r="C69" s="6" t="s">
        <v>215</v>
      </c>
      <c r="D69" s="7" t="s">
        <v>0</v>
      </c>
      <c r="E69" s="7" t="s">
        <v>0</v>
      </c>
      <c r="F69" s="7" t="s">
        <v>35</v>
      </c>
      <c r="G69" s="7" t="s">
        <v>35</v>
      </c>
      <c r="H69" s="7" t="s">
        <v>35</v>
      </c>
      <c r="I69" s="7" t="s">
        <v>0</v>
      </c>
      <c r="J69" s="7" t="s">
        <v>0</v>
      </c>
      <c r="K69" s="7" t="s">
        <v>0</v>
      </c>
      <c r="L69" s="7" t="s">
        <v>0</v>
      </c>
      <c r="M69" s="7" t="s">
        <v>0</v>
      </c>
      <c r="N69" s="7" t="s">
        <v>0</v>
      </c>
      <c r="O69" s="7" t="s">
        <v>0</v>
      </c>
      <c r="P69" s="7" t="s">
        <v>0</v>
      </c>
      <c r="Q69" s="7" t="s">
        <v>0</v>
      </c>
      <c r="R69" s="7" t="s">
        <v>0</v>
      </c>
      <c r="S69" s="7" t="s">
        <v>0</v>
      </c>
      <c r="T69" s="7" t="s">
        <v>0</v>
      </c>
      <c r="U69" s="7" t="s">
        <v>0</v>
      </c>
      <c r="V69" s="7" t="s">
        <v>0</v>
      </c>
      <c r="W69" s="16" t="str">
        <f>HYPERLINK("http://www.aruplab.com/Testing-Information/resources/HotLines/HotLineDocs/Aug2023QHL/2003182.pdf","H")</f>
        <v>H</v>
      </c>
      <c r="X69" s="7" t="s">
        <v>0</v>
      </c>
      <c r="Y69" s="7" t="s">
        <v>0</v>
      </c>
      <c r="Z69" s="7" t="s">
        <v>0</v>
      </c>
      <c r="AA69" s="8">
        <v>45159</v>
      </c>
    </row>
    <row r="70" spans="1:27" ht="75">
      <c r="A70" s="6" t="s">
        <v>216</v>
      </c>
      <c r="B70" s="6" t="s">
        <v>217</v>
      </c>
      <c r="C70" s="6" t="s">
        <v>218</v>
      </c>
      <c r="D70" s="7" t="s">
        <v>0</v>
      </c>
      <c r="E70" s="7" t="s">
        <v>35</v>
      </c>
      <c r="F70" s="7" t="s">
        <v>0</v>
      </c>
      <c r="G70" s="7" t="s">
        <v>0</v>
      </c>
      <c r="H70" s="7" t="s">
        <v>0</v>
      </c>
      <c r="I70" s="7" t="s">
        <v>0</v>
      </c>
      <c r="J70" s="7" t="s">
        <v>35</v>
      </c>
      <c r="K70" s="7" t="s">
        <v>0</v>
      </c>
      <c r="L70" s="7" t="s">
        <v>35</v>
      </c>
      <c r="M70" s="7" t="s">
        <v>0</v>
      </c>
      <c r="N70" s="7" t="s">
        <v>0</v>
      </c>
      <c r="O70" s="7" t="s">
        <v>0</v>
      </c>
      <c r="P70" s="7" t="s">
        <v>0</v>
      </c>
      <c r="Q70" s="7" t="s">
        <v>0</v>
      </c>
      <c r="R70" s="7" t="s">
        <v>0</v>
      </c>
      <c r="S70" s="7" t="s">
        <v>0</v>
      </c>
      <c r="T70" s="7" t="s">
        <v>0</v>
      </c>
      <c r="U70" s="7" t="s">
        <v>0</v>
      </c>
      <c r="V70" s="7" t="s">
        <v>0</v>
      </c>
      <c r="W70" s="16" t="str">
        <f>HYPERLINK("http://www.aruplab.com/Testing-Information/resources/HotLines/HotLineDocs/Aug2023QHL/2004221.pdf","H")</f>
        <v>H</v>
      </c>
      <c r="X70" s="16" t="str">
        <f>HYPERLINK("http://www.aruplab.com/Testing-Information/resources/HotLines/TDMix/Aug2023QHL/2004221.xlsx","T")</f>
        <v>T</v>
      </c>
      <c r="Y70" s="16" t="str">
        <f>HYPERLINK("http://www.aruplab.com/Testing-Information/resources/HotLines/Sample_Reports/Aug2023QHL/2004221_N-methyl-D-Aspartate Receptor Antibody, IgG by CBA-IFA, Serum with Reflex to Titer_NMDA IGG.pdf","E")</f>
        <v>E</v>
      </c>
      <c r="Z70" s="7" t="s">
        <v>0</v>
      </c>
      <c r="AA70" s="8">
        <v>45159</v>
      </c>
    </row>
    <row r="71" spans="1:27" ht="30">
      <c r="A71" s="6" t="s">
        <v>219</v>
      </c>
      <c r="B71" s="6" t="s">
        <v>220</v>
      </c>
      <c r="C71" s="6" t="s">
        <v>221</v>
      </c>
      <c r="D71" s="7" t="s">
        <v>0</v>
      </c>
      <c r="E71" s="7" t="s">
        <v>0</v>
      </c>
      <c r="F71" s="7" t="s">
        <v>35</v>
      </c>
      <c r="G71" s="7" t="s">
        <v>0</v>
      </c>
      <c r="H71" s="7" t="s">
        <v>35</v>
      </c>
      <c r="I71" s="7" t="s">
        <v>0</v>
      </c>
      <c r="J71" s="7" t="s">
        <v>0</v>
      </c>
      <c r="K71" s="7" t="s">
        <v>0</v>
      </c>
      <c r="L71" s="7" t="s">
        <v>0</v>
      </c>
      <c r="M71" s="7" t="s">
        <v>0</v>
      </c>
      <c r="N71" s="7" t="s">
        <v>0</v>
      </c>
      <c r="O71" s="7" t="s">
        <v>0</v>
      </c>
      <c r="P71" s="7" t="s">
        <v>0</v>
      </c>
      <c r="Q71" s="7" t="s">
        <v>0</v>
      </c>
      <c r="R71" s="7" t="s">
        <v>0</v>
      </c>
      <c r="S71" s="7" t="s">
        <v>0</v>
      </c>
      <c r="T71" s="7" t="s">
        <v>0</v>
      </c>
      <c r="U71" s="7" t="s">
        <v>0</v>
      </c>
      <c r="V71" s="7" t="s">
        <v>0</v>
      </c>
      <c r="W71" s="16" t="str">
        <f>HYPERLINK("http://www.aruplab.com/Testing-Information/resources/HotLines/HotLineDocs/Aug2023QHL/2005016.pdf","H")</f>
        <v>H</v>
      </c>
      <c r="X71" s="7" t="s">
        <v>0</v>
      </c>
      <c r="Y71" s="7" t="s">
        <v>0</v>
      </c>
      <c r="Z71" s="7" t="s">
        <v>0</v>
      </c>
      <c r="AA71" s="8">
        <v>45159</v>
      </c>
    </row>
    <row r="72" spans="1:27" ht="75">
      <c r="A72" s="6" t="s">
        <v>222</v>
      </c>
      <c r="B72" s="6" t="s">
        <v>223</v>
      </c>
      <c r="C72" s="6" t="s">
        <v>224</v>
      </c>
      <c r="D72" s="7" t="s">
        <v>0</v>
      </c>
      <c r="E72" s="7" t="s">
        <v>0</v>
      </c>
      <c r="F72" s="7" t="s">
        <v>0</v>
      </c>
      <c r="G72" s="7" t="s">
        <v>0</v>
      </c>
      <c r="H72" s="7" t="s">
        <v>0</v>
      </c>
      <c r="I72" s="7" t="s">
        <v>0</v>
      </c>
      <c r="J72" s="7" t="s">
        <v>0</v>
      </c>
      <c r="K72" s="7" t="s">
        <v>0</v>
      </c>
      <c r="L72" s="7" t="s">
        <v>0</v>
      </c>
      <c r="M72" s="7" t="s">
        <v>0</v>
      </c>
      <c r="N72" s="7" t="s">
        <v>0</v>
      </c>
      <c r="O72" s="7" t="s">
        <v>0</v>
      </c>
      <c r="P72" s="7" t="s">
        <v>0</v>
      </c>
      <c r="Q72" s="7" t="s">
        <v>0</v>
      </c>
      <c r="R72" s="7" t="s">
        <v>0</v>
      </c>
      <c r="S72" s="7" t="s">
        <v>0</v>
      </c>
      <c r="T72" s="7" t="s">
        <v>0</v>
      </c>
      <c r="U72" s="7" t="s">
        <v>35</v>
      </c>
      <c r="V72" s="7" t="s">
        <v>0</v>
      </c>
      <c r="W72" s="16" t="str">
        <f>HYPERLINK("http://www.aruplab.com/Testing-Information/resources/HotLines/HotLineDocs/Aug2023QHL/2023.07.07 Aug Quarterly Hotline Inactivations.pdf","H")</f>
        <v>H</v>
      </c>
      <c r="X72" s="7" t="s">
        <v>0</v>
      </c>
      <c r="Y72" s="7" t="s">
        <v>0</v>
      </c>
      <c r="Z72" s="7" t="s">
        <v>0</v>
      </c>
      <c r="AA72" s="8">
        <v>45159</v>
      </c>
    </row>
    <row r="73" spans="1:27" ht="90">
      <c r="A73" s="6" t="s">
        <v>225</v>
      </c>
      <c r="B73" s="6" t="s">
        <v>226</v>
      </c>
      <c r="C73" s="6" t="s">
        <v>227</v>
      </c>
      <c r="D73" s="7" t="s">
        <v>0</v>
      </c>
      <c r="E73" s="7" t="s">
        <v>0</v>
      </c>
      <c r="F73" s="7" t="s">
        <v>0</v>
      </c>
      <c r="G73" s="7" t="s">
        <v>0</v>
      </c>
      <c r="H73" s="7" t="s">
        <v>0</v>
      </c>
      <c r="I73" s="7" t="s">
        <v>0</v>
      </c>
      <c r="J73" s="7" t="s">
        <v>0</v>
      </c>
      <c r="K73" s="7" t="s">
        <v>0</v>
      </c>
      <c r="L73" s="7" t="s">
        <v>0</v>
      </c>
      <c r="M73" s="7" t="s">
        <v>0</v>
      </c>
      <c r="N73" s="7" t="s">
        <v>0</v>
      </c>
      <c r="O73" s="7" t="s">
        <v>0</v>
      </c>
      <c r="P73" s="7" t="s">
        <v>0</v>
      </c>
      <c r="Q73" s="7" t="s">
        <v>0</v>
      </c>
      <c r="R73" s="7" t="s">
        <v>0</v>
      </c>
      <c r="S73" s="7" t="s">
        <v>0</v>
      </c>
      <c r="T73" s="7" t="s">
        <v>0</v>
      </c>
      <c r="U73" s="7" t="s">
        <v>35</v>
      </c>
      <c r="V73" s="7" t="s">
        <v>0</v>
      </c>
      <c r="W73" s="16" t="str">
        <f>HYPERLINK("http://www.aruplab.com/Testing-Information/resources/HotLines/HotLineDocs/Aug2023QHL/2023.07.07 Aug Quarterly Hotline Inactivations.pdf","H")</f>
        <v>H</v>
      </c>
      <c r="X73" s="7" t="s">
        <v>0</v>
      </c>
      <c r="Y73" s="7" t="s">
        <v>0</v>
      </c>
      <c r="Z73" s="7" t="s">
        <v>0</v>
      </c>
      <c r="AA73" s="8">
        <v>45159</v>
      </c>
    </row>
    <row r="74" spans="1:27" ht="60">
      <c r="A74" s="6" t="s">
        <v>228</v>
      </c>
      <c r="B74" s="6" t="s">
        <v>229</v>
      </c>
      <c r="C74" s="6" t="s">
        <v>230</v>
      </c>
      <c r="D74" s="7" t="s">
        <v>0</v>
      </c>
      <c r="E74" s="7" t="s">
        <v>35</v>
      </c>
      <c r="F74" s="7" t="s">
        <v>0</v>
      </c>
      <c r="G74" s="7" t="s">
        <v>0</v>
      </c>
      <c r="H74" s="7" t="s">
        <v>0</v>
      </c>
      <c r="I74" s="7" t="s">
        <v>0</v>
      </c>
      <c r="J74" s="7" t="s">
        <v>35</v>
      </c>
      <c r="K74" s="7" t="s">
        <v>0</v>
      </c>
      <c r="L74" s="7" t="s">
        <v>35</v>
      </c>
      <c r="M74" s="7" t="s">
        <v>0</v>
      </c>
      <c r="N74" s="7" t="s">
        <v>0</v>
      </c>
      <c r="O74" s="7" t="s">
        <v>0</v>
      </c>
      <c r="P74" s="7" t="s">
        <v>0</v>
      </c>
      <c r="Q74" s="7" t="s">
        <v>0</v>
      </c>
      <c r="R74" s="7" t="s">
        <v>0</v>
      </c>
      <c r="S74" s="7" t="s">
        <v>0</v>
      </c>
      <c r="T74" s="7" t="s">
        <v>0</v>
      </c>
      <c r="U74" s="7" t="s">
        <v>0</v>
      </c>
      <c r="V74" s="7" t="s">
        <v>0</v>
      </c>
      <c r="W74" s="16" t="str">
        <f>HYPERLINK("http://www.aruplab.com/Testing-Information/resources/HotLines/HotLineDocs/Aug2023QHL/2005164.pdf","H")</f>
        <v>H</v>
      </c>
      <c r="X74" s="16" t="str">
        <f>HYPERLINK("http://www.aruplab.com/Testing-Information/resources/HotLines/TDMix/Aug2023QHL/2005164.xlsx","T")</f>
        <v>T</v>
      </c>
      <c r="Y74" s="16" t="str">
        <f>HYPERLINK("http://www.aruplab.com/Testing-Information/resources/HotLines/Sample_Reports/Aug2023QHL/2005164_N-methyl-D-Aspartate Receptor Antibody, IgG by CBA-IFA, CSF with Reflex to Titer_NMDA G CSF.pdf","E")</f>
        <v>E</v>
      </c>
      <c r="Z74" s="7" t="s">
        <v>0</v>
      </c>
      <c r="AA74" s="8">
        <v>45159</v>
      </c>
    </row>
    <row r="75" spans="1:27" ht="45">
      <c r="A75" s="6" t="s">
        <v>231</v>
      </c>
      <c r="B75" s="6" t="s">
        <v>232</v>
      </c>
      <c r="C75" s="6" t="s">
        <v>233</v>
      </c>
      <c r="D75" s="7" t="s">
        <v>0</v>
      </c>
      <c r="E75" s="7" t="s">
        <v>35</v>
      </c>
      <c r="F75" s="7" t="s">
        <v>35</v>
      </c>
      <c r="G75" s="7" t="s">
        <v>35</v>
      </c>
      <c r="H75" s="7" t="s">
        <v>35</v>
      </c>
      <c r="I75" s="7" t="s">
        <v>0</v>
      </c>
      <c r="J75" s="7" t="s">
        <v>35</v>
      </c>
      <c r="K75" s="7" t="s">
        <v>35</v>
      </c>
      <c r="L75" s="7" t="s">
        <v>35</v>
      </c>
      <c r="M75" s="7" t="s">
        <v>0</v>
      </c>
      <c r="N75" s="7" t="s">
        <v>0</v>
      </c>
      <c r="O75" s="7" t="s">
        <v>0</v>
      </c>
      <c r="P75" s="7" t="s">
        <v>0</v>
      </c>
      <c r="Q75" s="7" t="s">
        <v>0</v>
      </c>
      <c r="R75" s="7" t="s">
        <v>0</v>
      </c>
      <c r="S75" s="7" t="s">
        <v>0</v>
      </c>
      <c r="T75" s="7" t="s">
        <v>0</v>
      </c>
      <c r="U75" s="7" t="s">
        <v>0</v>
      </c>
      <c r="V75" s="7" t="s">
        <v>0</v>
      </c>
      <c r="W75" s="16" t="str">
        <f>HYPERLINK("http://www.aruplab.com/Testing-Information/resources/HotLines/HotLineDocs/Aug2023QHL/2005373.pdf","H")</f>
        <v>H</v>
      </c>
      <c r="X75" s="16" t="str">
        <f>HYPERLINK("http://www.aruplab.com/Testing-Information/resources/HotLines/TDMix/Aug2023QHL/2005373.xlsx","T")</f>
        <v>T</v>
      </c>
      <c r="Y75" s="16" t="str">
        <f>HYPERLINK("http://www.aruplab.com/Testing-Information/resources/HotLines/Sample_Reports/Aug2023QHL/2005373_Alternative Complement Pathway Activity, Alternative_AH50.pdf","E")</f>
        <v>E</v>
      </c>
      <c r="Z75" s="7" t="s">
        <v>0</v>
      </c>
      <c r="AA75" s="8">
        <v>45159</v>
      </c>
    </row>
    <row r="76" spans="1:27" ht="45">
      <c r="A76" s="6" t="s">
        <v>234</v>
      </c>
      <c r="B76" s="6" t="s">
        <v>235</v>
      </c>
      <c r="C76" s="6" t="s">
        <v>236</v>
      </c>
      <c r="D76" s="7" t="s">
        <v>0</v>
      </c>
      <c r="E76" s="7" t="s">
        <v>0</v>
      </c>
      <c r="F76" s="7" t="s">
        <v>35</v>
      </c>
      <c r="G76" s="7" t="s">
        <v>0</v>
      </c>
      <c r="H76" s="7" t="s">
        <v>0</v>
      </c>
      <c r="I76" s="7" t="s">
        <v>0</v>
      </c>
      <c r="J76" s="7" t="s">
        <v>35</v>
      </c>
      <c r="K76" s="7" t="s">
        <v>0</v>
      </c>
      <c r="L76" s="7" t="s">
        <v>0</v>
      </c>
      <c r="M76" s="7" t="s">
        <v>0</v>
      </c>
      <c r="N76" s="7" t="s">
        <v>0</v>
      </c>
      <c r="O76" s="7" t="s">
        <v>0</v>
      </c>
      <c r="P76" s="7" t="s">
        <v>0</v>
      </c>
      <c r="Q76" s="7" t="s">
        <v>0</v>
      </c>
      <c r="R76" s="7" t="s">
        <v>0</v>
      </c>
      <c r="S76" s="7" t="s">
        <v>0</v>
      </c>
      <c r="T76" s="7" t="s">
        <v>0</v>
      </c>
      <c r="U76" s="7" t="s">
        <v>0</v>
      </c>
      <c r="V76" s="7" t="s">
        <v>0</v>
      </c>
      <c r="W76" s="16" t="str">
        <f>HYPERLINK("http://www.aruplab.com/Testing-Information/resources/HotLines/HotLineDocs/Aug2023QHL/2005545.pdf","H")</f>
        <v>H</v>
      </c>
      <c r="X76" s="7" t="s">
        <v>0</v>
      </c>
      <c r="Y76" s="7" t="s">
        <v>0</v>
      </c>
      <c r="Z76" s="7" t="s">
        <v>0</v>
      </c>
      <c r="AA76" s="8">
        <v>45159</v>
      </c>
    </row>
    <row r="77" spans="1:27" ht="60">
      <c r="A77" s="6" t="s">
        <v>237</v>
      </c>
      <c r="B77" s="6" t="s">
        <v>238</v>
      </c>
      <c r="C77" s="6" t="s">
        <v>239</v>
      </c>
      <c r="D77" s="7" t="s">
        <v>0</v>
      </c>
      <c r="E77" s="7" t="s">
        <v>0</v>
      </c>
      <c r="F77" s="7" t="s">
        <v>35</v>
      </c>
      <c r="G77" s="7" t="s">
        <v>35</v>
      </c>
      <c r="H77" s="7" t="s">
        <v>0</v>
      </c>
      <c r="I77" s="7" t="s">
        <v>0</v>
      </c>
      <c r="J77" s="7" t="s">
        <v>35</v>
      </c>
      <c r="K77" s="7" t="s">
        <v>0</v>
      </c>
      <c r="L77" s="7" t="s">
        <v>0</v>
      </c>
      <c r="M77" s="7" t="s">
        <v>0</v>
      </c>
      <c r="N77" s="7" t="s">
        <v>0</v>
      </c>
      <c r="O77" s="7" t="s">
        <v>0</v>
      </c>
      <c r="P77" s="7" t="s">
        <v>0</v>
      </c>
      <c r="Q77" s="7" t="s">
        <v>0</v>
      </c>
      <c r="R77" s="7" t="s">
        <v>0</v>
      </c>
      <c r="S77" s="7" t="s">
        <v>0</v>
      </c>
      <c r="T77" s="7" t="s">
        <v>0</v>
      </c>
      <c r="U77" s="7" t="s">
        <v>0</v>
      </c>
      <c r="V77" s="7" t="s">
        <v>0</v>
      </c>
      <c r="W77" s="16" t="str">
        <f>HYPERLINK("http://www.aruplab.com/Testing-Information/resources/HotLines/HotLineDocs/Aug2023QHL/2005779.pdf","H")</f>
        <v>H</v>
      </c>
      <c r="X77" s="7" t="s">
        <v>0</v>
      </c>
      <c r="Y77" s="16" t="str">
        <f>HYPERLINK("http://www.aruplab.com/Testing-Information/resources/HotLines/Sample_Reports/Aug2023QHL/2005779_Streptococcus pneumoniae Antibodies, IgG 23 Serotypes_PNEUMO 23.pdf","E")</f>
        <v>E</v>
      </c>
      <c r="Z77" s="7" t="s">
        <v>0</v>
      </c>
      <c r="AA77" s="8">
        <v>45159</v>
      </c>
    </row>
    <row r="78" spans="1:27" ht="45">
      <c r="A78" s="6" t="s">
        <v>240</v>
      </c>
      <c r="B78" s="6" t="s">
        <v>241</v>
      </c>
      <c r="C78" s="6" t="s">
        <v>242</v>
      </c>
      <c r="D78" s="7" t="s">
        <v>0</v>
      </c>
      <c r="E78" s="7" t="s">
        <v>0</v>
      </c>
      <c r="F78" s="7" t="s">
        <v>35</v>
      </c>
      <c r="G78" s="7" t="s">
        <v>35</v>
      </c>
      <c r="H78" s="7" t="s">
        <v>0</v>
      </c>
      <c r="I78" s="7" t="s">
        <v>0</v>
      </c>
      <c r="J78" s="7" t="s">
        <v>35</v>
      </c>
      <c r="K78" s="7" t="s">
        <v>0</v>
      </c>
      <c r="L78" s="7" t="s">
        <v>0</v>
      </c>
      <c r="M78" s="7" t="s">
        <v>0</v>
      </c>
      <c r="N78" s="7" t="s">
        <v>0</v>
      </c>
      <c r="O78" s="7" t="s">
        <v>0</v>
      </c>
      <c r="P78" s="7" t="s">
        <v>0</v>
      </c>
      <c r="Q78" s="7" t="s">
        <v>0</v>
      </c>
      <c r="R78" s="7" t="s">
        <v>0</v>
      </c>
      <c r="S78" s="7" t="s">
        <v>0</v>
      </c>
      <c r="T78" s="7" t="s">
        <v>0</v>
      </c>
      <c r="U78" s="7" t="s">
        <v>0</v>
      </c>
      <c r="V78" s="7" t="s">
        <v>0</v>
      </c>
      <c r="W78" s="16" t="str">
        <f>HYPERLINK("http://www.aruplab.com/Testing-Information/resources/HotLines/HotLineDocs/Aug2023QHL/2006193.pdf","H")</f>
        <v>H</v>
      </c>
      <c r="X78" s="7" t="s">
        <v>0</v>
      </c>
      <c r="Y78" s="7" t="s">
        <v>0</v>
      </c>
      <c r="Z78" s="7" t="s">
        <v>0</v>
      </c>
      <c r="AA78" s="8">
        <v>45159</v>
      </c>
    </row>
    <row r="79" spans="1:27" ht="75">
      <c r="A79" s="6" t="s">
        <v>243</v>
      </c>
      <c r="B79" s="6" t="s">
        <v>244</v>
      </c>
      <c r="C79" s="6" t="s">
        <v>245</v>
      </c>
      <c r="D79" s="7" t="s">
        <v>0</v>
      </c>
      <c r="E79" s="7" t="s">
        <v>0</v>
      </c>
      <c r="F79" s="7" t="s">
        <v>0</v>
      </c>
      <c r="G79" s="7" t="s">
        <v>0</v>
      </c>
      <c r="H79" s="7" t="s">
        <v>0</v>
      </c>
      <c r="I79" s="7" t="s">
        <v>0</v>
      </c>
      <c r="J79" s="7" t="s">
        <v>0</v>
      </c>
      <c r="K79" s="7" t="s">
        <v>0</v>
      </c>
      <c r="L79" s="7" t="s">
        <v>0</v>
      </c>
      <c r="M79" s="7" t="s">
        <v>0</v>
      </c>
      <c r="N79" s="7" t="s">
        <v>0</v>
      </c>
      <c r="O79" s="7" t="s">
        <v>0</v>
      </c>
      <c r="P79" s="7" t="s">
        <v>0</v>
      </c>
      <c r="Q79" s="7" t="s">
        <v>0</v>
      </c>
      <c r="R79" s="7" t="s">
        <v>0</v>
      </c>
      <c r="S79" s="7" t="s">
        <v>0</v>
      </c>
      <c r="T79" s="7" t="s">
        <v>0</v>
      </c>
      <c r="U79" s="7" t="s">
        <v>35</v>
      </c>
      <c r="V79" s="7" t="s">
        <v>0</v>
      </c>
      <c r="W79" s="16" t="str">
        <f>HYPERLINK("http://www.aruplab.com/Testing-Information/resources/HotLines/HotLineDocs/Aug2023QHL/2023.07.07 Aug Quarterly Hotline Inactivations.pdf","H")</f>
        <v>H</v>
      </c>
      <c r="X79" s="7" t="s">
        <v>0</v>
      </c>
      <c r="Y79" s="7" t="s">
        <v>0</v>
      </c>
      <c r="Z79" s="7" t="s">
        <v>0</v>
      </c>
      <c r="AA79" s="8">
        <v>45159</v>
      </c>
    </row>
    <row r="80" spans="1:27" ht="90">
      <c r="A80" s="6" t="s">
        <v>246</v>
      </c>
      <c r="B80" s="6" t="s">
        <v>247</v>
      </c>
      <c r="C80" s="6" t="s">
        <v>248</v>
      </c>
      <c r="D80" s="7" t="s">
        <v>0</v>
      </c>
      <c r="E80" s="7" t="s">
        <v>0</v>
      </c>
      <c r="F80" s="7" t="s">
        <v>0</v>
      </c>
      <c r="G80" s="7" t="s">
        <v>0</v>
      </c>
      <c r="H80" s="7" t="s">
        <v>0</v>
      </c>
      <c r="I80" s="7" t="s">
        <v>0</v>
      </c>
      <c r="J80" s="7" t="s">
        <v>0</v>
      </c>
      <c r="K80" s="7" t="s">
        <v>0</v>
      </c>
      <c r="L80" s="7" t="s">
        <v>0</v>
      </c>
      <c r="M80" s="7" t="s">
        <v>0</v>
      </c>
      <c r="N80" s="7" t="s">
        <v>0</v>
      </c>
      <c r="O80" s="7" t="s">
        <v>0</v>
      </c>
      <c r="P80" s="7" t="s">
        <v>0</v>
      </c>
      <c r="Q80" s="7" t="s">
        <v>0</v>
      </c>
      <c r="R80" s="7" t="s">
        <v>0</v>
      </c>
      <c r="S80" s="7" t="s">
        <v>0</v>
      </c>
      <c r="T80" s="7" t="s">
        <v>0</v>
      </c>
      <c r="U80" s="7" t="s">
        <v>35</v>
      </c>
      <c r="V80" s="7" t="s">
        <v>0</v>
      </c>
      <c r="W80" s="16" t="str">
        <f>HYPERLINK("http://www.aruplab.com/Testing-Information/resources/HotLines/HotLineDocs/Aug2023QHL/2023.07.07 Aug Quarterly Hotline Inactivations.pdf","H")</f>
        <v>H</v>
      </c>
      <c r="X80" s="7" t="s">
        <v>0</v>
      </c>
      <c r="Y80" s="7" t="s">
        <v>0</v>
      </c>
      <c r="Z80" s="7" t="s">
        <v>0</v>
      </c>
      <c r="AA80" s="8">
        <v>45159</v>
      </c>
    </row>
    <row r="81" spans="1:27" ht="90">
      <c r="A81" s="6" t="s">
        <v>249</v>
      </c>
      <c r="B81" s="6" t="s">
        <v>250</v>
      </c>
      <c r="C81" s="6" t="s">
        <v>251</v>
      </c>
      <c r="D81" s="7" t="s">
        <v>0</v>
      </c>
      <c r="E81" s="7" t="s">
        <v>0</v>
      </c>
      <c r="F81" s="7" t="s">
        <v>0</v>
      </c>
      <c r="G81" s="7" t="s">
        <v>0</v>
      </c>
      <c r="H81" s="7" t="s">
        <v>0</v>
      </c>
      <c r="I81" s="7" t="s">
        <v>0</v>
      </c>
      <c r="J81" s="7" t="s">
        <v>0</v>
      </c>
      <c r="K81" s="7" t="s">
        <v>0</v>
      </c>
      <c r="L81" s="7" t="s">
        <v>0</v>
      </c>
      <c r="M81" s="7" t="s">
        <v>0</v>
      </c>
      <c r="N81" s="7" t="s">
        <v>0</v>
      </c>
      <c r="O81" s="7" t="s">
        <v>0</v>
      </c>
      <c r="P81" s="7" t="s">
        <v>0</v>
      </c>
      <c r="Q81" s="7" t="s">
        <v>0</v>
      </c>
      <c r="R81" s="7" t="s">
        <v>0</v>
      </c>
      <c r="S81" s="7" t="s">
        <v>0</v>
      </c>
      <c r="T81" s="7" t="s">
        <v>0</v>
      </c>
      <c r="U81" s="7" t="s">
        <v>35</v>
      </c>
      <c r="V81" s="7" t="s">
        <v>0</v>
      </c>
      <c r="W81" s="16" t="str">
        <f>HYPERLINK("http://www.aruplab.com/Testing-Information/resources/HotLines/HotLineDocs/Aug2023QHL/2023.07.07 Aug Quarterly Hotline Inactivations.pdf","H")</f>
        <v>H</v>
      </c>
      <c r="X81" s="7" t="s">
        <v>0</v>
      </c>
      <c r="Y81" s="7" t="s">
        <v>0</v>
      </c>
      <c r="Z81" s="7" t="s">
        <v>0</v>
      </c>
      <c r="AA81" s="8">
        <v>45159</v>
      </c>
    </row>
    <row r="82" spans="1:27" ht="45">
      <c r="A82" s="6" t="s">
        <v>252</v>
      </c>
      <c r="B82" s="6" t="s">
        <v>253</v>
      </c>
      <c r="C82" s="6" t="s">
        <v>254</v>
      </c>
      <c r="D82" s="7" t="s">
        <v>0</v>
      </c>
      <c r="E82" s="7" t="s">
        <v>0</v>
      </c>
      <c r="F82" s="7" t="s">
        <v>0</v>
      </c>
      <c r="G82" s="7" t="s">
        <v>35</v>
      </c>
      <c r="H82" s="7" t="s">
        <v>0</v>
      </c>
      <c r="I82" s="7" t="s">
        <v>35</v>
      </c>
      <c r="J82" s="7" t="s">
        <v>0</v>
      </c>
      <c r="K82" s="7" t="s">
        <v>35</v>
      </c>
      <c r="L82" s="7" t="s">
        <v>0</v>
      </c>
      <c r="M82" s="7" t="s">
        <v>0</v>
      </c>
      <c r="N82" s="7" t="s">
        <v>0</v>
      </c>
      <c r="O82" s="7" t="s">
        <v>0</v>
      </c>
      <c r="P82" s="7" t="s">
        <v>0</v>
      </c>
      <c r="Q82" s="7" t="s">
        <v>0</v>
      </c>
      <c r="R82" s="7" t="s">
        <v>0</v>
      </c>
      <c r="S82" s="7" t="s">
        <v>0</v>
      </c>
      <c r="T82" s="7" t="s">
        <v>0</v>
      </c>
      <c r="U82" s="7" t="s">
        <v>0</v>
      </c>
      <c r="V82" s="7" t="s">
        <v>0</v>
      </c>
      <c r="W82" s="16" t="str">
        <f>HYPERLINK("http://www.aruplab.com/Testing-Information/resources/HotLines/HotLineDocs/Aug2023QHL/2006621.pdf","H")</f>
        <v>H</v>
      </c>
      <c r="X82" s="7" t="s">
        <v>0</v>
      </c>
      <c r="Y82" s="7" t="s">
        <v>0</v>
      </c>
      <c r="Z82" s="7" t="s">
        <v>0</v>
      </c>
      <c r="AA82" s="8">
        <v>45159</v>
      </c>
    </row>
    <row r="83" spans="1:27" ht="60">
      <c r="A83" s="6" t="s">
        <v>255</v>
      </c>
      <c r="B83" s="6" t="s">
        <v>256</v>
      </c>
      <c r="C83" s="6" t="s">
        <v>257</v>
      </c>
      <c r="D83" s="7" t="s">
        <v>0</v>
      </c>
      <c r="E83" s="7" t="s">
        <v>0</v>
      </c>
      <c r="F83" s="7" t="s">
        <v>35</v>
      </c>
      <c r="G83" s="7" t="s">
        <v>35</v>
      </c>
      <c r="H83" s="7" t="s">
        <v>0</v>
      </c>
      <c r="I83" s="7" t="s">
        <v>0</v>
      </c>
      <c r="J83" s="7" t="s">
        <v>35</v>
      </c>
      <c r="K83" s="7" t="s">
        <v>0</v>
      </c>
      <c r="L83" s="7" t="s">
        <v>0</v>
      </c>
      <c r="M83" s="7" t="s">
        <v>0</v>
      </c>
      <c r="N83" s="7" t="s">
        <v>0</v>
      </c>
      <c r="O83" s="7" t="s">
        <v>0</v>
      </c>
      <c r="P83" s="7" t="s">
        <v>0</v>
      </c>
      <c r="Q83" s="7" t="s">
        <v>0</v>
      </c>
      <c r="R83" s="7" t="s">
        <v>0</v>
      </c>
      <c r="S83" s="7" t="s">
        <v>0</v>
      </c>
      <c r="T83" s="7" t="s">
        <v>0</v>
      </c>
      <c r="U83" s="7" t="s">
        <v>0</v>
      </c>
      <c r="V83" s="7" t="s">
        <v>0</v>
      </c>
      <c r="W83" s="16" t="str">
        <f>HYPERLINK("http://www.aruplab.com/Testing-Information/resources/HotLines/HotLineDocs/Aug2023QHL/2008919.pdf","H")</f>
        <v>H</v>
      </c>
      <c r="X83" s="7" t="s">
        <v>0</v>
      </c>
      <c r="Y83" s="16" t="str">
        <f>HYPERLINK("http://www.aruplab.com/Testing-Information/resources/HotLines/Sample_Reports/Aug2023QHL/2008919_Streptococcus pneumoniae Antibodies, IgG 9 Serotypes_PNEUMO 9.pdf","E")</f>
        <v>E</v>
      </c>
      <c r="Z83" s="7" t="s">
        <v>0</v>
      </c>
      <c r="AA83" s="8">
        <v>45159</v>
      </c>
    </row>
    <row r="84" spans="1:27" ht="60">
      <c r="A84" s="6" t="s">
        <v>258</v>
      </c>
      <c r="B84" s="6" t="s">
        <v>259</v>
      </c>
      <c r="C84" s="6" t="s">
        <v>260</v>
      </c>
      <c r="D84" s="7" t="s">
        <v>0</v>
      </c>
      <c r="E84" s="7" t="s">
        <v>35</v>
      </c>
      <c r="F84" s="7" t="s">
        <v>0</v>
      </c>
      <c r="G84" s="7" t="s">
        <v>0</v>
      </c>
      <c r="H84" s="7" t="s">
        <v>0</v>
      </c>
      <c r="I84" s="7" t="s">
        <v>0</v>
      </c>
      <c r="J84" s="7" t="s">
        <v>35</v>
      </c>
      <c r="K84" s="7" t="s">
        <v>0</v>
      </c>
      <c r="L84" s="7" t="s">
        <v>35</v>
      </c>
      <c r="M84" s="7" t="s">
        <v>0</v>
      </c>
      <c r="N84" s="7" t="s">
        <v>0</v>
      </c>
      <c r="O84" s="7" t="s">
        <v>0</v>
      </c>
      <c r="P84" s="7" t="s">
        <v>0</v>
      </c>
      <c r="Q84" s="7" t="s">
        <v>0</v>
      </c>
      <c r="R84" s="7" t="s">
        <v>0</v>
      </c>
      <c r="S84" s="7" t="s">
        <v>0</v>
      </c>
      <c r="T84" s="7" t="s">
        <v>0</v>
      </c>
      <c r="U84" s="7" t="s">
        <v>0</v>
      </c>
      <c r="V84" s="7" t="s">
        <v>0</v>
      </c>
      <c r="W84" s="16" t="str">
        <f>HYPERLINK("http://www.aruplab.com/Testing-Information/resources/HotLines/HotLineDocs/Aug2023QHL/2009452.pdf","H")</f>
        <v>H</v>
      </c>
      <c r="X84" s="16" t="str">
        <f>HYPERLINK("http://www.aruplab.com/Testing-Information/resources/HotLines/TDMix/Aug2023QHL/2009452.xlsx","T")</f>
        <v>T</v>
      </c>
      <c r="Y84" s="16" t="str">
        <f>HYPERLINK("http://www.aruplab.com/Testing-Information/resources/HotLines/Sample_Reports/Aug2023QHL/2009452_Contactin-Associated Protein-2 Antibody, IgG by CBA-IFA with Reflex to Titer, Serum_CASPR2 IGG.pdf","E")</f>
        <v>E</v>
      </c>
      <c r="Z84" s="7" t="s">
        <v>0</v>
      </c>
      <c r="AA84" s="8">
        <v>45159</v>
      </c>
    </row>
    <row r="85" spans="1:27" ht="75">
      <c r="A85" s="6" t="s">
        <v>261</v>
      </c>
      <c r="B85" s="6" t="s">
        <v>262</v>
      </c>
      <c r="C85" s="6" t="s">
        <v>263</v>
      </c>
      <c r="D85" s="7" t="s">
        <v>0</v>
      </c>
      <c r="E85" s="7" t="s">
        <v>0</v>
      </c>
      <c r="F85" s="7" t="s">
        <v>0</v>
      </c>
      <c r="G85" s="7" t="s">
        <v>0</v>
      </c>
      <c r="H85" s="7" t="s">
        <v>0</v>
      </c>
      <c r="I85" s="7" t="s">
        <v>0</v>
      </c>
      <c r="J85" s="7" t="s">
        <v>35</v>
      </c>
      <c r="K85" s="7" t="s">
        <v>0</v>
      </c>
      <c r="L85" s="7" t="s">
        <v>35</v>
      </c>
      <c r="M85" s="7" t="s">
        <v>0</v>
      </c>
      <c r="N85" s="7" t="s">
        <v>0</v>
      </c>
      <c r="O85" s="7" t="s">
        <v>0</v>
      </c>
      <c r="P85" s="7" t="s">
        <v>0</v>
      </c>
      <c r="Q85" s="7" t="s">
        <v>0</v>
      </c>
      <c r="R85" s="7" t="s">
        <v>0</v>
      </c>
      <c r="S85" s="7" t="s">
        <v>0</v>
      </c>
      <c r="T85" s="7" t="s">
        <v>0</v>
      </c>
      <c r="U85" s="7" t="s">
        <v>0</v>
      </c>
      <c r="V85" s="7" t="s">
        <v>0</v>
      </c>
      <c r="W85" s="16" t="str">
        <f>HYPERLINK("http://www.aruplab.com/Testing-Information/resources/HotLines/HotLineDocs/Aug2023QHL/2009456.pdf","H")</f>
        <v>H</v>
      </c>
      <c r="X85" s="16" t="str">
        <f>HYPERLINK("http://www.aruplab.com/Testing-Information/resources/HotLines/TDMix/Aug2023QHL/2009456.xlsx","T")</f>
        <v>T</v>
      </c>
      <c r="Y85" s="16" t="str">
        <f>HYPERLINK("http://www.aruplab.com/Testing-Information/resources/HotLines/Sample_Reports/Aug2023QHL/2009456_Leucine-Rich, Glioma-Inactivated Protein 1 Antibody, IgG CBA-IFA with Reflex to Titer, Serum_LGI1 IGG.pdf","E")</f>
        <v>E</v>
      </c>
      <c r="Z85" s="7" t="s">
        <v>0</v>
      </c>
      <c r="AA85" s="8">
        <v>45159</v>
      </c>
    </row>
    <row r="86" spans="1:27" ht="120">
      <c r="A86" s="6" t="s">
        <v>264</v>
      </c>
      <c r="B86" s="6" t="s">
        <v>265</v>
      </c>
      <c r="C86" s="6" t="s">
        <v>266</v>
      </c>
      <c r="D86" s="7" t="s">
        <v>0</v>
      </c>
      <c r="E86" s="7" t="s">
        <v>0</v>
      </c>
      <c r="F86" s="7" t="s">
        <v>0</v>
      </c>
      <c r="G86" s="7" t="s">
        <v>0</v>
      </c>
      <c r="H86" s="7" t="s">
        <v>0</v>
      </c>
      <c r="I86" s="7" t="s">
        <v>0</v>
      </c>
      <c r="J86" s="7" t="s">
        <v>0</v>
      </c>
      <c r="K86" s="7" t="s">
        <v>0</v>
      </c>
      <c r="L86" s="7" t="s">
        <v>35</v>
      </c>
      <c r="M86" s="7" t="s">
        <v>0</v>
      </c>
      <c r="N86" s="7" t="s">
        <v>0</v>
      </c>
      <c r="O86" s="7" t="s">
        <v>0</v>
      </c>
      <c r="P86" s="7" t="s">
        <v>0</v>
      </c>
      <c r="Q86" s="7" t="s">
        <v>0</v>
      </c>
      <c r="R86" s="7" t="s">
        <v>0</v>
      </c>
      <c r="S86" s="7" t="s">
        <v>0</v>
      </c>
      <c r="T86" s="7" t="s">
        <v>0</v>
      </c>
      <c r="U86" s="7" t="s">
        <v>0</v>
      </c>
      <c r="V86" s="7" t="s">
        <v>0</v>
      </c>
      <c r="W86" s="16" t="str">
        <f>HYPERLINK("http://www.aruplab.com/Testing-Information/resources/HotLines/HotLineDocs/Aug2023QHL/2009460.pdf","H")</f>
        <v>H</v>
      </c>
      <c r="X86" s="16" t="str">
        <f>HYPERLINK("http://www.aruplab.com/Testing-Information/resources/HotLines/TDMix/Aug2023QHL/2009460.xlsx","T")</f>
        <v>T</v>
      </c>
      <c r="Y86" s="16" t="str">
        <f>HYPERLINK("http://www.aruplab.com/Testing-Information/resources/HotLines/Sample_Reports/Aug2023QHL/2009460_Leucine-Rich, Glioma-Inactivated Protein 1 Ab, IgG CBA-IFA and Contactin-Associated Protein-2 Antibody, IgG CBA-IFA with Reflex to Titers, Serum_LGI1CASPR2.pdf","E")</f>
        <v>E</v>
      </c>
      <c r="Z86" s="7" t="s">
        <v>0</v>
      </c>
      <c r="AA86" s="8">
        <v>45159</v>
      </c>
    </row>
    <row r="87" spans="1:27" ht="90">
      <c r="A87" s="6" t="s">
        <v>267</v>
      </c>
      <c r="B87" s="6" t="s">
        <v>268</v>
      </c>
      <c r="C87" s="6" t="s">
        <v>269</v>
      </c>
      <c r="D87" s="7" t="s">
        <v>0</v>
      </c>
      <c r="E87" s="7" t="s">
        <v>0</v>
      </c>
      <c r="F87" s="7" t="s">
        <v>0</v>
      </c>
      <c r="G87" s="7" t="s">
        <v>0</v>
      </c>
      <c r="H87" s="7" t="s">
        <v>0</v>
      </c>
      <c r="I87" s="7" t="s">
        <v>0</v>
      </c>
      <c r="J87" s="7" t="s">
        <v>0</v>
      </c>
      <c r="K87" s="7" t="s">
        <v>0</v>
      </c>
      <c r="L87" s="7" t="s">
        <v>35</v>
      </c>
      <c r="M87" s="7" t="s">
        <v>0</v>
      </c>
      <c r="N87" s="7" t="s">
        <v>0</v>
      </c>
      <c r="O87" s="7" t="s">
        <v>0</v>
      </c>
      <c r="P87" s="7" t="s">
        <v>0</v>
      </c>
      <c r="Q87" s="7" t="s">
        <v>0</v>
      </c>
      <c r="R87" s="7" t="s">
        <v>0</v>
      </c>
      <c r="S87" s="7" t="s">
        <v>0</v>
      </c>
      <c r="T87" s="7" t="s">
        <v>0</v>
      </c>
      <c r="U87" s="7" t="s">
        <v>0</v>
      </c>
      <c r="V87" s="7" t="s">
        <v>0</v>
      </c>
      <c r="W87" s="16" t="str">
        <f>HYPERLINK("http://www.aruplab.com/Testing-Information/resources/HotLines/HotLineDocs/Aug2023QHL/2009463.pdf","H")</f>
        <v>H</v>
      </c>
      <c r="X87" s="16" t="str">
        <f>HYPERLINK("http://www.aruplab.com/Testing-Information/resources/HotLines/TDMix/Aug2023QHL/2009463.xlsx","T")</f>
        <v>T</v>
      </c>
      <c r="Y87" s="16" t="str">
        <f>HYPERLINK("http://www.aruplab.com/Testing-Information/resources/HotLines/Sample_Reports/Aug2023QHL/2009463_Voltage-Gated Potassium Channel VGKC Antibody with Reflex to LGI1 and CASPR2 Screen and Titer, Serum_VGKC R.pdf","E")</f>
        <v>E</v>
      </c>
      <c r="Z87" s="7" t="s">
        <v>0</v>
      </c>
      <c r="AA87" s="8">
        <v>45159</v>
      </c>
    </row>
    <row r="88" spans="1:27" ht="60">
      <c r="A88" s="6" t="s">
        <v>270</v>
      </c>
      <c r="B88" s="6" t="s">
        <v>271</v>
      </c>
      <c r="C88" s="6" t="s">
        <v>272</v>
      </c>
      <c r="D88" s="7" t="s">
        <v>0</v>
      </c>
      <c r="E88" s="7" t="s">
        <v>0</v>
      </c>
      <c r="F88" s="7" t="s">
        <v>35</v>
      </c>
      <c r="G88" s="7" t="s">
        <v>0</v>
      </c>
      <c r="H88" s="7" t="s">
        <v>0</v>
      </c>
      <c r="I88" s="7" t="s">
        <v>0</v>
      </c>
      <c r="J88" s="7" t="s">
        <v>0</v>
      </c>
      <c r="K88" s="7" t="s">
        <v>0</v>
      </c>
      <c r="L88" s="7" t="s">
        <v>0</v>
      </c>
      <c r="M88" s="7" t="s">
        <v>0</v>
      </c>
      <c r="N88" s="7" t="s">
        <v>0</v>
      </c>
      <c r="O88" s="7" t="s">
        <v>0</v>
      </c>
      <c r="P88" s="7" t="s">
        <v>0</v>
      </c>
      <c r="Q88" s="7" t="s">
        <v>0</v>
      </c>
      <c r="R88" s="7" t="s">
        <v>0</v>
      </c>
      <c r="S88" s="7" t="s">
        <v>0</v>
      </c>
      <c r="T88" s="7" t="s">
        <v>0</v>
      </c>
      <c r="U88" s="7" t="s">
        <v>0</v>
      </c>
      <c r="V88" s="7" t="s">
        <v>0</v>
      </c>
      <c r="W88" s="16" t="str">
        <f>HYPERLINK("http://www.aruplab.com/Testing-Information/resources/HotLines/HotLineDocs/Aug2023QHL/2011117.pdf","H")</f>
        <v>H</v>
      </c>
      <c r="X88" s="7" t="s">
        <v>0</v>
      </c>
      <c r="Y88" s="7" t="s">
        <v>0</v>
      </c>
      <c r="Z88" s="7" t="s">
        <v>0</v>
      </c>
      <c r="AA88" s="8">
        <v>45159</v>
      </c>
    </row>
    <row r="89" spans="1:27" ht="90">
      <c r="A89" s="6" t="s">
        <v>273</v>
      </c>
      <c r="B89" s="6" t="s">
        <v>274</v>
      </c>
      <c r="C89" s="6" t="s">
        <v>275</v>
      </c>
      <c r="D89" s="7" t="s">
        <v>0</v>
      </c>
      <c r="E89" s="7" t="s">
        <v>0</v>
      </c>
      <c r="F89" s="7" t="s">
        <v>0</v>
      </c>
      <c r="G89" s="7" t="s">
        <v>0</v>
      </c>
      <c r="H89" s="7" t="s">
        <v>0</v>
      </c>
      <c r="I89" s="7" t="s">
        <v>0</v>
      </c>
      <c r="J89" s="7" t="s">
        <v>0</v>
      </c>
      <c r="K89" s="7" t="s">
        <v>0</v>
      </c>
      <c r="L89" s="7" t="s">
        <v>0</v>
      </c>
      <c r="M89" s="7" t="s">
        <v>0</v>
      </c>
      <c r="N89" s="7" t="s">
        <v>0</v>
      </c>
      <c r="O89" s="7" t="s">
        <v>0</v>
      </c>
      <c r="P89" s="7" t="s">
        <v>0</v>
      </c>
      <c r="Q89" s="7" t="s">
        <v>0</v>
      </c>
      <c r="R89" s="7" t="s">
        <v>0</v>
      </c>
      <c r="S89" s="7" t="s">
        <v>0</v>
      </c>
      <c r="T89" s="7" t="s">
        <v>0</v>
      </c>
      <c r="U89" s="7" t="s">
        <v>35</v>
      </c>
      <c r="V89" s="7" t="s">
        <v>0</v>
      </c>
      <c r="W89" s="16" t="str">
        <f>HYPERLINK("http://www.aruplab.com/Testing-Information/resources/HotLines/HotLineDocs/Aug2023QHL/2023.07.07 Aug Quarterly Hotline Inactivations.pdf","H")</f>
        <v>H</v>
      </c>
      <c r="X89" s="7" t="s">
        <v>0</v>
      </c>
      <c r="Y89" s="7" t="s">
        <v>0</v>
      </c>
      <c r="Z89" s="7" t="s">
        <v>0</v>
      </c>
      <c r="AA89" s="8">
        <v>45159</v>
      </c>
    </row>
    <row r="90" spans="1:27" ht="45">
      <c r="A90" s="6" t="s">
        <v>276</v>
      </c>
      <c r="B90" s="6" t="s">
        <v>277</v>
      </c>
      <c r="C90" s="6" t="s">
        <v>278</v>
      </c>
      <c r="D90" s="7" t="s">
        <v>0</v>
      </c>
      <c r="E90" s="7" t="s">
        <v>0</v>
      </c>
      <c r="F90" s="7" t="s">
        <v>0</v>
      </c>
      <c r="G90" s="7" t="s">
        <v>0</v>
      </c>
      <c r="H90" s="7" t="s">
        <v>0</v>
      </c>
      <c r="I90" s="7" t="s">
        <v>0</v>
      </c>
      <c r="J90" s="7" t="s">
        <v>35</v>
      </c>
      <c r="K90" s="7" t="s">
        <v>0</v>
      </c>
      <c r="L90" s="7" t="s">
        <v>35</v>
      </c>
      <c r="M90" s="7" t="s">
        <v>0</v>
      </c>
      <c r="N90" s="7" t="s">
        <v>0</v>
      </c>
      <c r="O90" s="7" t="s">
        <v>0</v>
      </c>
      <c r="P90" s="7" t="s">
        <v>0</v>
      </c>
      <c r="Q90" s="7" t="s">
        <v>0</v>
      </c>
      <c r="R90" s="7" t="s">
        <v>0</v>
      </c>
      <c r="S90" s="7" t="s">
        <v>0</v>
      </c>
      <c r="T90" s="7" t="s">
        <v>0</v>
      </c>
      <c r="U90" s="7" t="s">
        <v>0</v>
      </c>
      <c r="V90" s="7" t="s">
        <v>0</v>
      </c>
      <c r="W90" s="16" t="str">
        <f>HYPERLINK("http://www.aruplab.com/Testing-Information/resources/HotLines/HotLineDocs/Aug2023QHL/2011699.pdf","H")</f>
        <v>H</v>
      </c>
      <c r="X90" s="16" t="str">
        <f>HYPERLINK("http://www.aruplab.com/Testing-Information/resources/HotLines/TDMix/Aug2023QHL/2011699.xlsx","T")</f>
        <v>T</v>
      </c>
      <c r="Y90" s="16" t="str">
        <f>HYPERLINK("http://www.aruplab.com/Testing-Information/resources/HotLines/Sample_Reports/Aug2023QHL/2011699_Aquaporin-4 Antibody, IgG by CBA-IFA, CSF with Reflex to Titer_AQP4 CSF.pdf","E")</f>
        <v>E</v>
      </c>
      <c r="Z90" s="7" t="s">
        <v>0</v>
      </c>
      <c r="AA90" s="8">
        <v>45159</v>
      </c>
    </row>
    <row r="91" spans="1:27" ht="90">
      <c r="A91" s="6" t="s">
        <v>279</v>
      </c>
      <c r="B91" s="6" t="s">
        <v>280</v>
      </c>
      <c r="C91" s="6" t="s">
        <v>281</v>
      </c>
      <c r="D91" s="7" t="s">
        <v>0</v>
      </c>
      <c r="E91" s="7" t="s">
        <v>0</v>
      </c>
      <c r="F91" s="7" t="s">
        <v>0</v>
      </c>
      <c r="G91" s="7" t="s">
        <v>0</v>
      </c>
      <c r="H91" s="7" t="s">
        <v>0</v>
      </c>
      <c r="I91" s="7" t="s">
        <v>0</v>
      </c>
      <c r="J91" s="7" t="s">
        <v>0</v>
      </c>
      <c r="K91" s="7" t="s">
        <v>0</v>
      </c>
      <c r="L91" s="7" t="s">
        <v>0</v>
      </c>
      <c r="M91" s="7" t="s">
        <v>0</v>
      </c>
      <c r="N91" s="7" t="s">
        <v>0</v>
      </c>
      <c r="O91" s="7" t="s">
        <v>0</v>
      </c>
      <c r="P91" s="7" t="s">
        <v>0</v>
      </c>
      <c r="Q91" s="7" t="s">
        <v>0</v>
      </c>
      <c r="R91" s="7" t="s">
        <v>0</v>
      </c>
      <c r="S91" s="7" t="s">
        <v>0</v>
      </c>
      <c r="T91" s="7" t="s">
        <v>0</v>
      </c>
      <c r="U91" s="7" t="s">
        <v>35</v>
      </c>
      <c r="V91" s="7" t="s">
        <v>0</v>
      </c>
      <c r="W91" s="16" t="str">
        <f>HYPERLINK("http://www.aruplab.com/Testing-Information/resources/HotLines/HotLineDocs/Aug2023QHL/2023.07.07 Aug Quarterly Hotline Inactivations.pdf","H")</f>
        <v>H</v>
      </c>
      <c r="X91" s="7" t="s">
        <v>0</v>
      </c>
      <c r="Y91" s="7" t="s">
        <v>0</v>
      </c>
      <c r="Z91" s="7" t="s">
        <v>0</v>
      </c>
      <c r="AA91" s="8">
        <v>45159</v>
      </c>
    </row>
    <row r="92" spans="1:27" ht="75">
      <c r="A92" s="6" t="s">
        <v>282</v>
      </c>
      <c r="B92" s="6" t="s">
        <v>283</v>
      </c>
      <c r="C92" s="6" t="s">
        <v>284</v>
      </c>
      <c r="D92" s="7" t="s">
        <v>0</v>
      </c>
      <c r="E92" s="7" t="s">
        <v>0</v>
      </c>
      <c r="F92" s="7" t="s">
        <v>0</v>
      </c>
      <c r="G92" s="7" t="s">
        <v>0</v>
      </c>
      <c r="H92" s="7" t="s">
        <v>0</v>
      </c>
      <c r="I92" s="7" t="s">
        <v>0</v>
      </c>
      <c r="J92" s="7" t="s">
        <v>0</v>
      </c>
      <c r="K92" s="7" t="s">
        <v>0</v>
      </c>
      <c r="L92" s="7" t="s">
        <v>0</v>
      </c>
      <c r="M92" s="7" t="s">
        <v>0</v>
      </c>
      <c r="N92" s="7" t="s">
        <v>0</v>
      </c>
      <c r="O92" s="7" t="s">
        <v>0</v>
      </c>
      <c r="P92" s="7" t="s">
        <v>0</v>
      </c>
      <c r="Q92" s="7" t="s">
        <v>0</v>
      </c>
      <c r="R92" s="7" t="s">
        <v>0</v>
      </c>
      <c r="S92" s="7" t="s">
        <v>0</v>
      </c>
      <c r="T92" s="7" t="s">
        <v>0</v>
      </c>
      <c r="U92" s="7" t="s">
        <v>0</v>
      </c>
      <c r="V92" s="7" t="s">
        <v>35</v>
      </c>
      <c r="W92" s="16" t="str">
        <f>HYPERLINK("http://www.aruplab.com/Testing-Information/resources/HotLines/HotLineDocs/Aug2023QHL/2023.07.07 Aug Quarterly Hotline Inactivations.pdf","H")</f>
        <v>H</v>
      </c>
      <c r="X92" s="7" t="s">
        <v>0</v>
      </c>
      <c r="Y92" s="7" t="s">
        <v>0</v>
      </c>
      <c r="Z92" s="7" t="s">
        <v>0</v>
      </c>
      <c r="AA92" s="8">
        <v>45159</v>
      </c>
    </row>
    <row r="93" spans="1:27" ht="90">
      <c r="A93" s="6" t="s">
        <v>285</v>
      </c>
      <c r="B93" s="6" t="s">
        <v>286</v>
      </c>
      <c r="C93" s="6" t="s">
        <v>287</v>
      </c>
      <c r="D93" s="7" t="s">
        <v>0</v>
      </c>
      <c r="E93" s="7" t="s">
        <v>0</v>
      </c>
      <c r="F93" s="7" t="s">
        <v>0</v>
      </c>
      <c r="G93" s="7" t="s">
        <v>0</v>
      </c>
      <c r="H93" s="7" t="s">
        <v>0</v>
      </c>
      <c r="I93" s="7" t="s">
        <v>0</v>
      </c>
      <c r="J93" s="7" t="s">
        <v>0</v>
      </c>
      <c r="K93" s="7" t="s">
        <v>0</v>
      </c>
      <c r="L93" s="7" t="s">
        <v>0</v>
      </c>
      <c r="M93" s="7" t="s">
        <v>0</v>
      </c>
      <c r="N93" s="7" t="s">
        <v>0</v>
      </c>
      <c r="O93" s="7" t="s">
        <v>0</v>
      </c>
      <c r="P93" s="7" t="s">
        <v>0</v>
      </c>
      <c r="Q93" s="7" t="s">
        <v>0</v>
      </c>
      <c r="R93" s="7" t="s">
        <v>0</v>
      </c>
      <c r="S93" s="7" t="s">
        <v>0</v>
      </c>
      <c r="T93" s="7" t="s">
        <v>0</v>
      </c>
      <c r="U93" s="7" t="s">
        <v>0</v>
      </c>
      <c r="V93" s="7" t="s">
        <v>35</v>
      </c>
      <c r="W93" s="16" t="str">
        <f>HYPERLINK("http://www.aruplab.com/Testing-Information/resources/HotLines/HotLineDocs/Aug2023QHL/2023.07.07 Aug Quarterly Hotline Inactivations.pdf","H")</f>
        <v>H</v>
      </c>
      <c r="X93" s="7" t="s">
        <v>0</v>
      </c>
      <c r="Y93" s="7" t="s">
        <v>0</v>
      </c>
      <c r="Z93" s="7" t="s">
        <v>0</v>
      </c>
      <c r="AA93" s="8">
        <v>45159</v>
      </c>
    </row>
    <row r="94" spans="1:27" ht="90">
      <c r="A94" s="6" t="s">
        <v>288</v>
      </c>
      <c r="B94" s="6" t="s">
        <v>289</v>
      </c>
      <c r="C94" s="6" t="s">
        <v>290</v>
      </c>
      <c r="D94" s="7" t="s">
        <v>0</v>
      </c>
      <c r="E94" s="7" t="s">
        <v>0</v>
      </c>
      <c r="F94" s="7" t="s">
        <v>35</v>
      </c>
      <c r="G94" s="7" t="s">
        <v>0</v>
      </c>
      <c r="H94" s="7" t="s">
        <v>0</v>
      </c>
      <c r="I94" s="7" t="s">
        <v>0</v>
      </c>
      <c r="J94" s="7" t="s">
        <v>0</v>
      </c>
      <c r="K94" s="7" t="s">
        <v>0</v>
      </c>
      <c r="L94" s="7" t="s">
        <v>0</v>
      </c>
      <c r="M94" s="7" t="s">
        <v>0</v>
      </c>
      <c r="N94" s="7" t="s">
        <v>0</v>
      </c>
      <c r="O94" s="7" t="s">
        <v>0</v>
      </c>
      <c r="P94" s="7" t="s">
        <v>0</v>
      </c>
      <c r="Q94" s="7" t="s">
        <v>0</v>
      </c>
      <c r="R94" s="7" t="s">
        <v>0</v>
      </c>
      <c r="S94" s="7" t="s">
        <v>0</v>
      </c>
      <c r="T94" s="7" t="s">
        <v>0</v>
      </c>
      <c r="U94" s="7" t="s">
        <v>0</v>
      </c>
      <c r="V94" s="7" t="s">
        <v>0</v>
      </c>
      <c r="W94" s="16" t="str">
        <f>HYPERLINK("http://www.aruplab.com/Testing-Information/resources/HotLines/HotLineDocs/Aug2023QHL/2013107.pdf","H")</f>
        <v>H</v>
      </c>
      <c r="X94" s="7" t="s">
        <v>0</v>
      </c>
      <c r="Y94" s="7" t="s">
        <v>0</v>
      </c>
      <c r="Z94" s="7" t="s">
        <v>0</v>
      </c>
      <c r="AA94" s="8">
        <v>45159</v>
      </c>
    </row>
    <row r="95" spans="1:27" ht="30">
      <c r="A95" s="6" t="s">
        <v>291</v>
      </c>
      <c r="B95" s="6" t="s">
        <v>292</v>
      </c>
      <c r="C95" s="6" t="s">
        <v>293</v>
      </c>
      <c r="D95" s="7" t="s">
        <v>0</v>
      </c>
      <c r="E95" s="7" t="s">
        <v>0</v>
      </c>
      <c r="F95" s="7" t="s">
        <v>35</v>
      </c>
      <c r="G95" s="7" t="s">
        <v>0</v>
      </c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7" t="s">
        <v>0</v>
      </c>
      <c r="N95" s="7" t="s">
        <v>0</v>
      </c>
      <c r="O95" s="7" t="s">
        <v>0</v>
      </c>
      <c r="P95" s="7" t="s">
        <v>0</v>
      </c>
      <c r="Q95" s="7" t="s">
        <v>0</v>
      </c>
      <c r="R95" s="7" t="s">
        <v>0</v>
      </c>
      <c r="S95" s="7" t="s">
        <v>0</v>
      </c>
      <c r="T95" s="7" t="s">
        <v>0</v>
      </c>
      <c r="U95" s="7" t="s">
        <v>0</v>
      </c>
      <c r="V95" s="7" t="s">
        <v>0</v>
      </c>
      <c r="W95" s="16" t="str">
        <f>HYPERLINK("http://www.aruplab.com/Testing-Information/resources/HotLines/HotLineDocs/Aug2023QHL/2013257.pdf","H")</f>
        <v>H</v>
      </c>
      <c r="X95" s="7" t="s">
        <v>0</v>
      </c>
      <c r="Y95" s="7" t="s">
        <v>0</v>
      </c>
      <c r="Z95" s="7" t="s">
        <v>0</v>
      </c>
      <c r="AA95" s="8">
        <v>45159</v>
      </c>
    </row>
    <row r="96" spans="1:27" ht="30">
      <c r="A96" s="6" t="s">
        <v>294</v>
      </c>
      <c r="B96" s="6" t="s">
        <v>295</v>
      </c>
      <c r="C96" s="6" t="s">
        <v>296</v>
      </c>
      <c r="D96" s="7" t="s">
        <v>0</v>
      </c>
      <c r="E96" s="7" t="s">
        <v>0</v>
      </c>
      <c r="F96" s="7" t="s">
        <v>35</v>
      </c>
      <c r="G96" s="7" t="s">
        <v>0</v>
      </c>
      <c r="H96" s="7" t="s">
        <v>0</v>
      </c>
      <c r="I96" s="7" t="s">
        <v>0</v>
      </c>
      <c r="J96" s="7" t="s">
        <v>0</v>
      </c>
      <c r="K96" s="7" t="s">
        <v>0</v>
      </c>
      <c r="L96" s="7" t="s">
        <v>0</v>
      </c>
      <c r="M96" s="7" t="s">
        <v>0</v>
      </c>
      <c r="N96" s="7" t="s">
        <v>0</v>
      </c>
      <c r="O96" s="7" t="s">
        <v>0</v>
      </c>
      <c r="P96" s="7" t="s">
        <v>0</v>
      </c>
      <c r="Q96" s="7" t="s">
        <v>0</v>
      </c>
      <c r="R96" s="7" t="s">
        <v>0</v>
      </c>
      <c r="S96" s="7" t="s">
        <v>0</v>
      </c>
      <c r="T96" s="7" t="s">
        <v>0</v>
      </c>
      <c r="U96" s="7" t="s">
        <v>0</v>
      </c>
      <c r="V96" s="7" t="s">
        <v>0</v>
      </c>
      <c r="W96" s="16" t="str">
        <f>HYPERLINK("http://www.aruplab.com/Testing-Information/resources/HotLines/HotLineDocs/Aug2023QHL/2013262.pdf","H")</f>
        <v>H</v>
      </c>
      <c r="X96" s="7" t="s">
        <v>0</v>
      </c>
      <c r="Y96" s="7" t="s">
        <v>0</v>
      </c>
      <c r="Z96" s="7" t="s">
        <v>0</v>
      </c>
      <c r="AA96" s="8">
        <v>45159</v>
      </c>
    </row>
    <row r="97" spans="1:27" ht="30">
      <c r="A97" s="6" t="s">
        <v>297</v>
      </c>
      <c r="B97" s="6" t="s">
        <v>298</v>
      </c>
      <c r="C97" s="6" t="s">
        <v>299</v>
      </c>
      <c r="D97" s="7" t="s">
        <v>0</v>
      </c>
      <c r="E97" s="7" t="s">
        <v>0</v>
      </c>
      <c r="F97" s="7" t="s">
        <v>35</v>
      </c>
      <c r="G97" s="7" t="s">
        <v>0</v>
      </c>
      <c r="H97" s="7" t="s">
        <v>0</v>
      </c>
      <c r="I97" s="7" t="s">
        <v>0</v>
      </c>
      <c r="J97" s="7" t="s">
        <v>0</v>
      </c>
      <c r="K97" s="7" t="s">
        <v>0</v>
      </c>
      <c r="L97" s="7" t="s">
        <v>0</v>
      </c>
      <c r="M97" s="7" t="s">
        <v>0</v>
      </c>
      <c r="N97" s="7" t="s">
        <v>0</v>
      </c>
      <c r="O97" s="7" t="s">
        <v>0</v>
      </c>
      <c r="P97" s="7" t="s">
        <v>0</v>
      </c>
      <c r="Q97" s="7" t="s">
        <v>0</v>
      </c>
      <c r="R97" s="7" t="s">
        <v>0</v>
      </c>
      <c r="S97" s="7" t="s">
        <v>0</v>
      </c>
      <c r="T97" s="7" t="s">
        <v>0</v>
      </c>
      <c r="U97" s="7" t="s">
        <v>0</v>
      </c>
      <c r="V97" s="7" t="s">
        <v>0</v>
      </c>
      <c r="W97" s="16" t="str">
        <f>HYPERLINK("http://www.aruplab.com/Testing-Information/resources/HotLines/HotLineDocs/Aug2023QHL/2013263.pdf","H")</f>
        <v>H</v>
      </c>
      <c r="X97" s="7" t="s">
        <v>0</v>
      </c>
      <c r="Y97" s="7" t="s">
        <v>0</v>
      </c>
      <c r="Z97" s="7" t="s">
        <v>0</v>
      </c>
      <c r="AA97" s="8">
        <v>45159</v>
      </c>
    </row>
    <row r="98" spans="1:27" ht="45">
      <c r="A98" s="6" t="s">
        <v>300</v>
      </c>
      <c r="B98" s="6" t="s">
        <v>301</v>
      </c>
      <c r="C98" s="6" t="s">
        <v>302</v>
      </c>
      <c r="D98" s="7" t="s">
        <v>0</v>
      </c>
      <c r="E98" s="7" t="s">
        <v>0</v>
      </c>
      <c r="F98" s="7" t="s">
        <v>0</v>
      </c>
      <c r="G98" s="7" t="s">
        <v>0</v>
      </c>
      <c r="H98" s="7" t="s">
        <v>0</v>
      </c>
      <c r="I98" s="7" t="s">
        <v>0</v>
      </c>
      <c r="J98" s="7" t="s">
        <v>35</v>
      </c>
      <c r="K98" s="7" t="s">
        <v>0</v>
      </c>
      <c r="L98" s="7" t="s">
        <v>35</v>
      </c>
      <c r="M98" s="7" t="s">
        <v>0</v>
      </c>
      <c r="N98" s="7" t="s">
        <v>0</v>
      </c>
      <c r="O98" s="7" t="s">
        <v>0</v>
      </c>
      <c r="P98" s="7" t="s">
        <v>0</v>
      </c>
      <c r="Q98" s="7" t="s">
        <v>0</v>
      </c>
      <c r="R98" s="7" t="s">
        <v>0</v>
      </c>
      <c r="S98" s="7" t="s">
        <v>0</v>
      </c>
      <c r="T98" s="7" t="s">
        <v>0</v>
      </c>
      <c r="U98" s="7" t="s">
        <v>0</v>
      </c>
      <c r="V98" s="7" t="s">
        <v>0</v>
      </c>
      <c r="W98" s="16" t="str">
        <f>HYPERLINK("http://www.aruplab.com/Testing-Information/resources/HotLines/HotLineDocs/Aug2023QHL/2013320.pdf","H")</f>
        <v>H</v>
      </c>
      <c r="X98" s="16" t="str">
        <f>HYPERLINK("http://www.aruplab.com/Testing-Information/resources/HotLines/TDMix/Aug2023QHL/2013320.xlsx","T")</f>
        <v>T</v>
      </c>
      <c r="Y98" s="16" t="str">
        <f>HYPERLINK("http://www.aruplab.com/Testing-Information/resources/HotLines/Sample_Reports/Aug2023QHL/2013320_Aquaporin-4 Antibody, IgG by CBA-IFA with Reflex to Titer, Serum_AQP4 SER.pdf","E")</f>
        <v>E</v>
      </c>
      <c r="Z98" s="7" t="s">
        <v>0</v>
      </c>
      <c r="AA98" s="8">
        <v>45159</v>
      </c>
    </row>
    <row r="99" spans="1:27" ht="75">
      <c r="A99" s="6" t="s">
        <v>303</v>
      </c>
      <c r="B99" s="6" t="s">
        <v>304</v>
      </c>
      <c r="C99" s="6" t="s">
        <v>305</v>
      </c>
      <c r="D99" s="7" t="s">
        <v>0</v>
      </c>
      <c r="E99" s="7" t="s">
        <v>0</v>
      </c>
      <c r="F99" s="7" t="s">
        <v>0</v>
      </c>
      <c r="G99" s="7" t="s">
        <v>0</v>
      </c>
      <c r="H99" s="7" t="s">
        <v>0</v>
      </c>
      <c r="I99" s="7" t="s">
        <v>0</v>
      </c>
      <c r="J99" s="7" t="s">
        <v>0</v>
      </c>
      <c r="K99" s="7" t="s">
        <v>0</v>
      </c>
      <c r="L99" s="7" t="s">
        <v>35</v>
      </c>
      <c r="M99" s="7" t="s">
        <v>0</v>
      </c>
      <c r="N99" s="7" t="s">
        <v>0</v>
      </c>
      <c r="O99" s="7" t="s">
        <v>0</v>
      </c>
      <c r="P99" s="7" t="s">
        <v>0</v>
      </c>
      <c r="Q99" s="7" t="s">
        <v>0</v>
      </c>
      <c r="R99" s="7" t="s">
        <v>0</v>
      </c>
      <c r="S99" s="7" t="s">
        <v>0</v>
      </c>
      <c r="T99" s="7" t="s">
        <v>0</v>
      </c>
      <c r="U99" s="7" t="s">
        <v>0</v>
      </c>
      <c r="V99" s="7" t="s">
        <v>0</v>
      </c>
      <c r="W99" s="16" t="str">
        <f>HYPERLINK("http://www.aruplab.com/Testing-Information/resources/HotLines/HotLineDocs/Aug2023QHL/2013327.pdf","H")</f>
        <v>H</v>
      </c>
      <c r="X99" s="16" t="str">
        <f>HYPERLINK("http://www.aruplab.com/Testing-Information/resources/HotLines/TDMix/Aug2023QHL/2013327.xlsx","T")</f>
        <v>T</v>
      </c>
      <c r="Y99" s="16" t="str">
        <f>HYPERLINK("http://www.aruplab.com/Testing-Information/resources/HotLines/Sample_Reports/Aug2023QHL/2013327_Aquaporin-4 Receptor Antibody by ELISA with Reflex to Aquaporin-4 Receptor Antibody, IgG by IFA_AQP4 R.pdf","E")</f>
        <v>E</v>
      </c>
      <c r="Z99" s="7" t="s">
        <v>0</v>
      </c>
      <c r="AA99" s="8">
        <v>45159</v>
      </c>
    </row>
    <row r="100" spans="1:27" ht="45">
      <c r="A100" s="6" t="s">
        <v>306</v>
      </c>
      <c r="B100" s="6" t="s">
        <v>307</v>
      </c>
      <c r="C100" s="6" t="s">
        <v>308</v>
      </c>
      <c r="D100" s="7" t="s">
        <v>0</v>
      </c>
      <c r="E100" s="7" t="s">
        <v>0</v>
      </c>
      <c r="F100" s="7" t="s">
        <v>35</v>
      </c>
      <c r="G100" s="7" t="s">
        <v>0</v>
      </c>
      <c r="H100" s="7" t="s">
        <v>0</v>
      </c>
      <c r="I100" s="7" t="s">
        <v>0</v>
      </c>
      <c r="J100" s="7" t="s">
        <v>35</v>
      </c>
      <c r="K100" s="7" t="s">
        <v>0</v>
      </c>
      <c r="L100" s="7" t="s">
        <v>0</v>
      </c>
      <c r="M100" s="7" t="s">
        <v>0</v>
      </c>
      <c r="N100" s="7" t="s">
        <v>0</v>
      </c>
      <c r="O100" s="7" t="s">
        <v>0</v>
      </c>
      <c r="P100" s="7" t="s">
        <v>0</v>
      </c>
      <c r="Q100" s="7" t="s">
        <v>0</v>
      </c>
      <c r="R100" s="7" t="s">
        <v>0</v>
      </c>
      <c r="S100" s="7" t="s">
        <v>0</v>
      </c>
      <c r="T100" s="7" t="s">
        <v>0</v>
      </c>
      <c r="U100" s="7" t="s">
        <v>0</v>
      </c>
      <c r="V100" s="7" t="s">
        <v>0</v>
      </c>
      <c r="W100" s="16" t="str">
        <f>HYPERLINK("http://www.aruplab.com/Testing-Information/resources/HotLines/HotLineDocs/Aug2023QHL/2013433.pdf","H")</f>
        <v>H</v>
      </c>
      <c r="X100" s="7" t="s">
        <v>0</v>
      </c>
      <c r="Y100" s="16" t="str">
        <f>HYPERLINK("http://www.aruplab.com/Testing-Information/resources/HotLines/Sample_Reports/Aug2023QHL/2013433_Clozapine and Metabolites, Serum or Plasma, Quantitative_CLOZAP SP.pdf","E")</f>
        <v>E</v>
      </c>
      <c r="Z100" s="7" t="s">
        <v>0</v>
      </c>
      <c r="AA100" s="8">
        <v>45159</v>
      </c>
    </row>
    <row r="101" spans="1:27" ht="45">
      <c r="A101" s="6" t="s">
        <v>309</v>
      </c>
      <c r="B101" s="6" t="s">
        <v>310</v>
      </c>
      <c r="C101" s="6" t="s">
        <v>311</v>
      </c>
      <c r="D101" s="7" t="s">
        <v>0</v>
      </c>
      <c r="E101" s="7" t="s">
        <v>0</v>
      </c>
      <c r="F101" s="7" t="s">
        <v>35</v>
      </c>
      <c r="G101" s="7" t="s">
        <v>35</v>
      </c>
      <c r="H101" s="7" t="s">
        <v>0</v>
      </c>
      <c r="I101" s="7" t="s">
        <v>0</v>
      </c>
      <c r="J101" s="7" t="s">
        <v>0</v>
      </c>
      <c r="K101" s="7" t="s">
        <v>0</v>
      </c>
      <c r="L101" s="7" t="s">
        <v>0</v>
      </c>
      <c r="M101" s="7" t="s">
        <v>0</v>
      </c>
      <c r="N101" s="7" t="s">
        <v>0</v>
      </c>
      <c r="O101" s="7" t="s">
        <v>0</v>
      </c>
      <c r="P101" s="7" t="s">
        <v>0</v>
      </c>
      <c r="Q101" s="7" t="s">
        <v>0</v>
      </c>
      <c r="R101" s="7" t="s">
        <v>0</v>
      </c>
      <c r="S101" s="7" t="s">
        <v>0</v>
      </c>
      <c r="T101" s="7" t="s">
        <v>0</v>
      </c>
      <c r="U101" s="7" t="s">
        <v>0</v>
      </c>
      <c r="V101" s="7" t="s">
        <v>0</v>
      </c>
      <c r="W101" s="16" t="str">
        <f>HYPERLINK("http://www.aruplab.com/Testing-Information/resources/HotLines/HotLineDocs/Aug2023QHL/2013661.pdf","H")</f>
        <v>H</v>
      </c>
      <c r="X101" s="7" t="s">
        <v>0</v>
      </c>
      <c r="Y101" s="7" t="s">
        <v>0</v>
      </c>
      <c r="Z101" s="7" t="s">
        <v>0</v>
      </c>
      <c r="AA101" s="8">
        <v>45159</v>
      </c>
    </row>
    <row r="102" spans="1:27" ht="45">
      <c r="A102" s="6" t="s">
        <v>312</v>
      </c>
      <c r="B102" s="6" t="s">
        <v>313</v>
      </c>
      <c r="C102" s="6" t="s">
        <v>314</v>
      </c>
      <c r="D102" s="7" t="s">
        <v>0</v>
      </c>
      <c r="E102" s="7" t="s">
        <v>0</v>
      </c>
      <c r="F102" s="7" t="s">
        <v>35</v>
      </c>
      <c r="G102" s="7" t="s">
        <v>35</v>
      </c>
      <c r="H102" s="7" t="s">
        <v>0</v>
      </c>
      <c r="I102" s="7" t="s">
        <v>0</v>
      </c>
      <c r="J102" s="7" t="s">
        <v>35</v>
      </c>
      <c r="K102" s="7" t="s">
        <v>0</v>
      </c>
      <c r="L102" s="7" t="s">
        <v>0</v>
      </c>
      <c r="M102" s="7" t="s">
        <v>0</v>
      </c>
      <c r="N102" s="7" t="s">
        <v>0</v>
      </c>
      <c r="O102" s="7" t="s">
        <v>0</v>
      </c>
      <c r="P102" s="7" t="s">
        <v>0</v>
      </c>
      <c r="Q102" s="7" t="s">
        <v>0</v>
      </c>
      <c r="R102" s="7" t="s">
        <v>0</v>
      </c>
      <c r="S102" s="7" t="s">
        <v>0</v>
      </c>
      <c r="T102" s="7" t="s">
        <v>0</v>
      </c>
      <c r="U102" s="7" t="s">
        <v>0</v>
      </c>
      <c r="V102" s="7" t="s">
        <v>0</v>
      </c>
      <c r="W102" s="16" t="str">
        <f>HYPERLINK("http://www.aruplab.com/Testing-Information/resources/HotLines/HotLineDocs/Aug2023QHL/2013662.pdf","H")</f>
        <v>H</v>
      </c>
      <c r="X102" s="7" t="s">
        <v>0</v>
      </c>
      <c r="Y102" s="7" t="s">
        <v>0</v>
      </c>
      <c r="Z102" s="7" t="s">
        <v>0</v>
      </c>
      <c r="AA102" s="8">
        <v>45159</v>
      </c>
    </row>
    <row r="103" spans="1:27" ht="45">
      <c r="A103" s="6" t="s">
        <v>315</v>
      </c>
      <c r="B103" s="6" t="s">
        <v>316</v>
      </c>
      <c r="C103" s="6" t="s">
        <v>317</v>
      </c>
      <c r="D103" s="7" t="s">
        <v>0</v>
      </c>
      <c r="E103" s="7" t="s">
        <v>35</v>
      </c>
      <c r="F103" s="7" t="s">
        <v>0</v>
      </c>
      <c r="G103" s="7" t="s">
        <v>0</v>
      </c>
      <c r="H103" s="7" t="s">
        <v>0</v>
      </c>
      <c r="I103" s="7" t="s">
        <v>0</v>
      </c>
      <c r="J103" s="7" t="s">
        <v>35</v>
      </c>
      <c r="K103" s="7" t="s">
        <v>0</v>
      </c>
      <c r="L103" s="7" t="s">
        <v>35</v>
      </c>
      <c r="M103" s="7" t="s">
        <v>0</v>
      </c>
      <c r="N103" s="7" t="s">
        <v>0</v>
      </c>
      <c r="O103" s="7" t="s">
        <v>0</v>
      </c>
      <c r="P103" s="7" t="s">
        <v>0</v>
      </c>
      <c r="Q103" s="7" t="s">
        <v>0</v>
      </c>
      <c r="R103" s="7" t="s">
        <v>0</v>
      </c>
      <c r="S103" s="7" t="s">
        <v>0</v>
      </c>
      <c r="T103" s="7" t="s">
        <v>0</v>
      </c>
      <c r="U103" s="7" t="s">
        <v>0</v>
      </c>
      <c r="V103" s="7" t="s">
        <v>0</v>
      </c>
      <c r="W103" s="16" t="str">
        <f>HYPERLINK("http://www.aruplab.com/Testing-Information/resources/HotLines/HotLineDocs/Aug2023QHL/2013956.pdf","H")</f>
        <v>H</v>
      </c>
      <c r="X103" s="16" t="str">
        <f>HYPERLINK("http://www.aruplab.com/Testing-Information/resources/HotLines/TDMix/Aug2023QHL/2013956.xlsx","T")</f>
        <v>T</v>
      </c>
      <c r="Y103" s="16" t="str">
        <f>HYPERLINK("http://www.aruplab.com/Testing-Information/resources/HotLines/Sample_Reports/Aug2023QHL/2013956_CV21 Antibody, IgG by CBA-IFA with Reflex to Titer, Serum_CV21 SCRN.pdf","E")</f>
        <v>E</v>
      </c>
      <c r="Z103" s="7" t="s">
        <v>0</v>
      </c>
      <c r="AA103" s="8">
        <v>45159</v>
      </c>
    </row>
    <row r="104" spans="1:27" ht="60">
      <c r="A104" s="6" t="s">
        <v>318</v>
      </c>
      <c r="B104" s="6" t="s">
        <v>319</v>
      </c>
      <c r="C104" s="6" t="s">
        <v>320</v>
      </c>
      <c r="D104" s="7" t="s">
        <v>0</v>
      </c>
      <c r="E104" s="7" t="s">
        <v>0</v>
      </c>
      <c r="F104" s="7" t="s">
        <v>35</v>
      </c>
      <c r="G104" s="7" t="s">
        <v>35</v>
      </c>
      <c r="H104" s="7" t="s">
        <v>0</v>
      </c>
      <c r="I104" s="7" t="s">
        <v>0</v>
      </c>
      <c r="J104" s="7" t="s">
        <v>0</v>
      </c>
      <c r="K104" s="7" t="s">
        <v>0</v>
      </c>
      <c r="L104" s="7" t="s">
        <v>0</v>
      </c>
      <c r="M104" s="7" t="s">
        <v>0</v>
      </c>
      <c r="N104" s="7" t="s">
        <v>0</v>
      </c>
      <c r="O104" s="7" t="s">
        <v>0</v>
      </c>
      <c r="P104" s="7" t="s">
        <v>0</v>
      </c>
      <c r="Q104" s="7" t="s">
        <v>0</v>
      </c>
      <c r="R104" s="7" t="s">
        <v>0</v>
      </c>
      <c r="S104" s="7" t="s">
        <v>0</v>
      </c>
      <c r="T104" s="7" t="s">
        <v>0</v>
      </c>
      <c r="U104" s="7" t="s">
        <v>0</v>
      </c>
      <c r="V104" s="7" t="s">
        <v>0</v>
      </c>
      <c r="W104" s="16" t="str">
        <f>HYPERLINK("http://www.aruplab.com/Testing-Information/resources/HotLines/HotLineDocs/Aug2023QHL/2014277.pdf","H")</f>
        <v>H</v>
      </c>
      <c r="X104" s="7" t="s">
        <v>0</v>
      </c>
      <c r="Y104" s="7" t="s">
        <v>0</v>
      </c>
      <c r="Z104" s="7" t="s">
        <v>0</v>
      </c>
      <c r="AA104" s="8">
        <v>45159</v>
      </c>
    </row>
    <row r="105" spans="1:27" ht="105">
      <c r="A105" s="6" t="s">
        <v>321</v>
      </c>
      <c r="B105" s="6" t="s">
        <v>322</v>
      </c>
      <c r="C105" s="6" t="s">
        <v>323</v>
      </c>
      <c r="D105" s="7" t="s">
        <v>0</v>
      </c>
      <c r="E105" s="7" t="s">
        <v>0</v>
      </c>
      <c r="F105" s="7" t="s">
        <v>0</v>
      </c>
      <c r="G105" s="7" t="s">
        <v>0</v>
      </c>
      <c r="H105" s="7" t="s">
        <v>0</v>
      </c>
      <c r="I105" s="7" t="s">
        <v>0</v>
      </c>
      <c r="J105" s="7" t="s">
        <v>0</v>
      </c>
      <c r="K105" s="7" t="s">
        <v>0</v>
      </c>
      <c r="L105" s="7" t="s">
        <v>0</v>
      </c>
      <c r="M105" s="7" t="s">
        <v>0</v>
      </c>
      <c r="N105" s="7" t="s">
        <v>0</v>
      </c>
      <c r="O105" s="7" t="s">
        <v>0</v>
      </c>
      <c r="P105" s="7" t="s">
        <v>0</v>
      </c>
      <c r="Q105" s="7" t="s">
        <v>0</v>
      </c>
      <c r="R105" s="7" t="s">
        <v>0</v>
      </c>
      <c r="S105" s="7" t="s">
        <v>0</v>
      </c>
      <c r="T105" s="7" t="s">
        <v>0</v>
      </c>
      <c r="U105" s="7" t="s">
        <v>35</v>
      </c>
      <c r="V105" s="7" t="s">
        <v>0</v>
      </c>
      <c r="W105" s="16" t="str">
        <f>HYPERLINK("http://www.aruplab.com/Testing-Information/resources/HotLines/HotLineDocs/Aug2023QHL/2023.07.07 Aug Quarterly Hotline Inactivations.pdf","H")</f>
        <v>H</v>
      </c>
      <c r="X105" s="7" t="s">
        <v>0</v>
      </c>
      <c r="Y105" s="7" t="s">
        <v>0</v>
      </c>
      <c r="Z105" s="7" t="s">
        <v>0</v>
      </c>
      <c r="AA105" s="8">
        <v>45159</v>
      </c>
    </row>
    <row r="106" spans="1:27" ht="30">
      <c r="A106" s="6" t="s">
        <v>324</v>
      </c>
      <c r="B106" s="6" t="s">
        <v>325</v>
      </c>
      <c r="C106" s="6" t="s">
        <v>326</v>
      </c>
      <c r="D106" s="7" t="s">
        <v>0</v>
      </c>
      <c r="E106" s="7" t="s">
        <v>0</v>
      </c>
      <c r="F106" s="7" t="s">
        <v>35</v>
      </c>
      <c r="G106" s="7" t="s">
        <v>35</v>
      </c>
      <c r="H106" s="7" t="s">
        <v>0</v>
      </c>
      <c r="I106" s="7" t="s">
        <v>35</v>
      </c>
      <c r="J106" s="7" t="s">
        <v>35</v>
      </c>
      <c r="K106" s="7" t="s">
        <v>0</v>
      </c>
      <c r="L106" s="7" t="s">
        <v>0</v>
      </c>
      <c r="M106" s="7" t="s">
        <v>0</v>
      </c>
      <c r="N106" s="7" t="s">
        <v>0</v>
      </c>
      <c r="O106" s="7" t="s">
        <v>0</v>
      </c>
      <c r="P106" s="7" t="s">
        <v>0</v>
      </c>
      <c r="Q106" s="7" t="s">
        <v>0</v>
      </c>
      <c r="R106" s="7" t="s">
        <v>0</v>
      </c>
      <c r="S106" s="7" t="s">
        <v>0</v>
      </c>
      <c r="T106" s="7" t="s">
        <v>0</v>
      </c>
      <c r="U106" s="7" t="s">
        <v>0</v>
      </c>
      <c r="V106" s="7" t="s">
        <v>0</v>
      </c>
      <c r="W106" s="16" t="str">
        <f>HYPERLINK("http://www.aruplab.com/Testing-Information/resources/HotLines/HotLineDocs/Aug2023QHL/3000193.pdf","H")</f>
        <v>H</v>
      </c>
      <c r="X106" s="7" t="s">
        <v>0</v>
      </c>
      <c r="Y106" s="7" t="s">
        <v>0</v>
      </c>
      <c r="Z106" s="7" t="s">
        <v>0</v>
      </c>
      <c r="AA106" s="8">
        <v>45159</v>
      </c>
    </row>
    <row r="107" spans="1:27" ht="75">
      <c r="A107" s="6" t="s">
        <v>327</v>
      </c>
      <c r="B107" s="6" t="s">
        <v>328</v>
      </c>
      <c r="C107" s="6" t="s">
        <v>329</v>
      </c>
      <c r="D107" s="7" t="s">
        <v>0</v>
      </c>
      <c r="E107" s="7" t="s">
        <v>0</v>
      </c>
      <c r="F107" s="7" t="s">
        <v>0</v>
      </c>
      <c r="G107" s="7" t="s">
        <v>0</v>
      </c>
      <c r="H107" s="7" t="s">
        <v>35</v>
      </c>
      <c r="I107" s="7" t="s">
        <v>0</v>
      </c>
      <c r="J107" s="7" t="s">
        <v>0</v>
      </c>
      <c r="K107" s="7" t="s">
        <v>0</v>
      </c>
      <c r="L107" s="7" t="s">
        <v>0</v>
      </c>
      <c r="M107" s="7" t="s">
        <v>0</v>
      </c>
      <c r="N107" s="7" t="s">
        <v>0</v>
      </c>
      <c r="O107" s="7" t="s">
        <v>0</v>
      </c>
      <c r="P107" s="7" t="s">
        <v>0</v>
      </c>
      <c r="Q107" s="7" t="s">
        <v>0</v>
      </c>
      <c r="R107" s="7" t="s">
        <v>0</v>
      </c>
      <c r="S107" s="7" t="s">
        <v>0</v>
      </c>
      <c r="T107" s="7" t="s">
        <v>0</v>
      </c>
      <c r="U107" s="7" t="s">
        <v>0</v>
      </c>
      <c r="V107" s="7" t="s">
        <v>0</v>
      </c>
      <c r="W107" s="16" t="str">
        <f>HYPERLINK("http://www.aruplab.com/Testing-Information/resources/HotLines/HotLineDocs/Aug2023QHL/3000724.pdf","H")</f>
        <v>H</v>
      </c>
      <c r="X107" s="7" t="s">
        <v>0</v>
      </c>
      <c r="Y107" s="7" t="s">
        <v>0</v>
      </c>
      <c r="Z107" s="7" t="s">
        <v>0</v>
      </c>
      <c r="AA107" s="8">
        <v>45159</v>
      </c>
    </row>
    <row r="108" spans="1:27" ht="30">
      <c r="A108" s="6" t="s">
        <v>330</v>
      </c>
      <c r="B108" s="6" t="s">
        <v>331</v>
      </c>
      <c r="C108" s="6" t="s">
        <v>332</v>
      </c>
      <c r="D108" s="7" t="s">
        <v>0</v>
      </c>
      <c r="E108" s="7" t="s">
        <v>0</v>
      </c>
      <c r="F108" s="7" t="s">
        <v>35</v>
      </c>
      <c r="G108" s="7" t="s">
        <v>35</v>
      </c>
      <c r="H108" s="7" t="s">
        <v>0</v>
      </c>
      <c r="I108" s="7" t="s">
        <v>0</v>
      </c>
      <c r="J108" s="7" t="s">
        <v>35</v>
      </c>
      <c r="K108" s="7" t="s">
        <v>0</v>
      </c>
      <c r="L108" s="7" t="s">
        <v>0</v>
      </c>
      <c r="M108" s="7" t="s">
        <v>0</v>
      </c>
      <c r="N108" s="7" t="s">
        <v>0</v>
      </c>
      <c r="O108" s="7" t="s">
        <v>0</v>
      </c>
      <c r="P108" s="7" t="s">
        <v>0</v>
      </c>
      <c r="Q108" s="7" t="s">
        <v>0</v>
      </c>
      <c r="R108" s="7" t="s">
        <v>0</v>
      </c>
      <c r="S108" s="7" t="s">
        <v>0</v>
      </c>
      <c r="T108" s="7" t="s">
        <v>0</v>
      </c>
      <c r="U108" s="7" t="s">
        <v>0</v>
      </c>
      <c r="V108" s="7" t="s">
        <v>0</v>
      </c>
      <c r="W108" s="16" t="str">
        <f>HYPERLINK("http://www.aruplab.com/Testing-Information/resources/HotLines/HotLineDocs/Aug2023QHL/3001053.pdf","H")</f>
        <v>H</v>
      </c>
      <c r="X108" s="7" t="s">
        <v>0</v>
      </c>
      <c r="Y108" s="7" t="s">
        <v>0</v>
      </c>
      <c r="Z108" s="7" t="s">
        <v>0</v>
      </c>
      <c r="AA108" s="8">
        <v>45159</v>
      </c>
    </row>
    <row r="109" spans="1:27" ht="105">
      <c r="A109" s="6" t="s">
        <v>333</v>
      </c>
      <c r="B109" s="6" t="s">
        <v>334</v>
      </c>
      <c r="C109" s="6" t="s">
        <v>335</v>
      </c>
      <c r="D109" s="7" t="s">
        <v>0</v>
      </c>
      <c r="E109" s="7" t="s">
        <v>0</v>
      </c>
      <c r="F109" s="7" t="s">
        <v>0</v>
      </c>
      <c r="G109" s="7" t="s">
        <v>0</v>
      </c>
      <c r="H109" s="7" t="s">
        <v>0</v>
      </c>
      <c r="I109" s="7" t="s">
        <v>0</v>
      </c>
      <c r="J109" s="7" t="s">
        <v>35</v>
      </c>
      <c r="K109" s="7" t="s">
        <v>0</v>
      </c>
      <c r="L109" s="7" t="s">
        <v>35</v>
      </c>
      <c r="M109" s="7" t="s">
        <v>0</v>
      </c>
      <c r="N109" s="7" t="s">
        <v>0</v>
      </c>
      <c r="O109" s="7" t="s">
        <v>0</v>
      </c>
      <c r="P109" s="7" t="s">
        <v>0</v>
      </c>
      <c r="Q109" s="7" t="s">
        <v>0</v>
      </c>
      <c r="R109" s="7" t="s">
        <v>0</v>
      </c>
      <c r="S109" s="7" t="s">
        <v>0</v>
      </c>
      <c r="T109" s="7" t="s">
        <v>0</v>
      </c>
      <c r="U109" s="7" t="s">
        <v>0</v>
      </c>
      <c r="V109" s="7" t="s">
        <v>0</v>
      </c>
      <c r="W109" s="16" t="str">
        <f>HYPERLINK("http://www.aruplab.com/Testing-Information/resources/HotLines/HotLineDocs/Aug2023QHL/3001257.pdf","H")</f>
        <v>H</v>
      </c>
      <c r="X109" s="16" t="str">
        <f>HYPERLINK("http://www.aruplab.com/Testing-Information/resources/HotLines/TDMix/Aug2023QHL/3001257.xlsx","T")</f>
        <v>T</v>
      </c>
      <c r="Y109" s="16" t="str">
        <f>HYPERLINK("http://www.aruplab.com/Testing-Information/resources/HotLines/Sample_Reports/Aug2023QHL/3001257_Alpha-Amino-3-hydroxy-5-methyl-4-isoxazolepropionic Acid AMPA Receptor Antibody, IgG by CBA-IFA with Reflex to Titer, CSF_AMPA CSF.pdf","E")</f>
        <v>E</v>
      </c>
      <c r="Z109" s="7" t="s">
        <v>0</v>
      </c>
      <c r="AA109" s="8">
        <v>45159</v>
      </c>
    </row>
    <row r="110" spans="1:27" ht="105">
      <c r="A110" s="6" t="s">
        <v>336</v>
      </c>
      <c r="B110" s="6" t="s">
        <v>337</v>
      </c>
      <c r="C110" s="6" t="s">
        <v>338</v>
      </c>
      <c r="D110" s="7" t="s">
        <v>0</v>
      </c>
      <c r="E110" s="7" t="s">
        <v>0</v>
      </c>
      <c r="F110" s="7" t="s">
        <v>0</v>
      </c>
      <c r="G110" s="7" t="s">
        <v>0</v>
      </c>
      <c r="H110" s="7" t="s">
        <v>0</v>
      </c>
      <c r="I110" s="7" t="s">
        <v>0</v>
      </c>
      <c r="J110" s="7" t="s">
        <v>35</v>
      </c>
      <c r="K110" s="7" t="s">
        <v>0</v>
      </c>
      <c r="L110" s="7" t="s">
        <v>35</v>
      </c>
      <c r="M110" s="7" t="s">
        <v>0</v>
      </c>
      <c r="N110" s="7" t="s">
        <v>0</v>
      </c>
      <c r="O110" s="7" t="s">
        <v>0</v>
      </c>
      <c r="P110" s="7" t="s">
        <v>0</v>
      </c>
      <c r="Q110" s="7" t="s">
        <v>0</v>
      </c>
      <c r="R110" s="7" t="s">
        <v>0</v>
      </c>
      <c r="S110" s="7" t="s">
        <v>0</v>
      </c>
      <c r="T110" s="7" t="s">
        <v>0</v>
      </c>
      <c r="U110" s="7" t="s">
        <v>0</v>
      </c>
      <c r="V110" s="7" t="s">
        <v>0</v>
      </c>
      <c r="W110" s="16" t="str">
        <f>HYPERLINK("http://www.aruplab.com/Testing-Information/resources/HotLines/HotLineDocs/Aug2023QHL/3001260.pdf","H")</f>
        <v>H</v>
      </c>
      <c r="X110" s="16" t="str">
        <f>HYPERLINK("http://www.aruplab.com/Testing-Information/resources/HotLines/TDMix/Aug2023QHL/3001260.xlsx","T")</f>
        <v>T</v>
      </c>
      <c r="Y110" s="16" t="str">
        <f>HYPERLINK("http://www.aruplab.com/Testing-Information/resources/HotLines/Sample_Reports/Aug2023QHL/3001260_Alpha-amino-3-hydroxy-5-methyl-4-isoxazolepropionic Acid AMPA Receptor Antibody, IgG by CBA-IFA with Reflex to Titer, Serum_AMPA SER.pdf","E")</f>
        <v>E</v>
      </c>
      <c r="Z110" s="7" t="s">
        <v>0</v>
      </c>
      <c r="AA110" s="8">
        <v>45159</v>
      </c>
    </row>
    <row r="111" spans="1:27" ht="75">
      <c r="A111" s="6" t="s">
        <v>339</v>
      </c>
      <c r="B111" s="6" t="s">
        <v>340</v>
      </c>
      <c r="C111" s="6" t="s">
        <v>341</v>
      </c>
      <c r="D111" s="7" t="s">
        <v>0</v>
      </c>
      <c r="E111" s="7" t="s">
        <v>0</v>
      </c>
      <c r="F111" s="7" t="s">
        <v>0</v>
      </c>
      <c r="G111" s="7" t="s">
        <v>0</v>
      </c>
      <c r="H111" s="7" t="s">
        <v>0</v>
      </c>
      <c r="I111" s="7" t="s">
        <v>0</v>
      </c>
      <c r="J111" s="7" t="s">
        <v>35</v>
      </c>
      <c r="K111" s="7" t="s">
        <v>0</v>
      </c>
      <c r="L111" s="7" t="s">
        <v>35</v>
      </c>
      <c r="M111" s="7" t="s">
        <v>0</v>
      </c>
      <c r="N111" s="7" t="s">
        <v>0</v>
      </c>
      <c r="O111" s="7" t="s">
        <v>0</v>
      </c>
      <c r="P111" s="7" t="s">
        <v>0</v>
      </c>
      <c r="Q111" s="7" t="s">
        <v>0</v>
      </c>
      <c r="R111" s="7" t="s">
        <v>0</v>
      </c>
      <c r="S111" s="7" t="s">
        <v>0</v>
      </c>
      <c r="T111" s="7" t="s">
        <v>0</v>
      </c>
      <c r="U111" s="7" t="s">
        <v>0</v>
      </c>
      <c r="V111" s="7" t="s">
        <v>0</v>
      </c>
      <c r="W111" s="16" t="str">
        <f>HYPERLINK("http://www.aruplab.com/Testing-Information/resources/HotLines/HotLineDocs/Aug2023QHL/3001267.pdf","H")</f>
        <v>H</v>
      </c>
      <c r="X111" s="16" t="str">
        <f>HYPERLINK("http://www.aruplab.com/Testing-Information/resources/HotLines/TDMix/Aug2023QHL/3001267.xlsx","T")</f>
        <v>T</v>
      </c>
      <c r="Y111" s="16" t="str">
        <f>HYPERLINK("http://www.aruplab.com/Testing-Information/resources/HotLines/Sample_Reports/Aug2023QHL/3001267_Gamma Aminobutyric Acid Receptor, Type B GABA-BR Antibody, IgG by CBA-IFA with Reflex to Titer, CSF_GABA-B CSF.pdf","E")</f>
        <v>E</v>
      </c>
      <c r="Z111" s="7" t="s">
        <v>0</v>
      </c>
      <c r="AA111" s="8">
        <v>45159</v>
      </c>
    </row>
    <row r="112" spans="1:27" ht="75">
      <c r="A112" s="6" t="s">
        <v>342</v>
      </c>
      <c r="B112" s="6" t="s">
        <v>343</v>
      </c>
      <c r="C112" s="6" t="s">
        <v>344</v>
      </c>
      <c r="D112" s="7" t="s">
        <v>0</v>
      </c>
      <c r="E112" s="7" t="s">
        <v>0</v>
      </c>
      <c r="F112" s="7" t="s">
        <v>0</v>
      </c>
      <c r="G112" s="7" t="s">
        <v>0</v>
      </c>
      <c r="H112" s="7" t="s">
        <v>0</v>
      </c>
      <c r="I112" s="7" t="s">
        <v>0</v>
      </c>
      <c r="J112" s="7" t="s">
        <v>35</v>
      </c>
      <c r="K112" s="7" t="s">
        <v>0</v>
      </c>
      <c r="L112" s="7" t="s">
        <v>35</v>
      </c>
      <c r="M112" s="7" t="s">
        <v>0</v>
      </c>
      <c r="N112" s="7" t="s">
        <v>0</v>
      </c>
      <c r="O112" s="7" t="s">
        <v>0</v>
      </c>
      <c r="P112" s="7" t="s">
        <v>0</v>
      </c>
      <c r="Q112" s="7" t="s">
        <v>0</v>
      </c>
      <c r="R112" s="7" t="s">
        <v>0</v>
      </c>
      <c r="S112" s="7" t="s">
        <v>0</v>
      </c>
      <c r="T112" s="7" t="s">
        <v>0</v>
      </c>
      <c r="U112" s="7" t="s">
        <v>0</v>
      </c>
      <c r="V112" s="7" t="s">
        <v>0</v>
      </c>
      <c r="W112" s="16" t="str">
        <f>HYPERLINK("http://www.aruplab.com/Testing-Information/resources/HotLines/HotLineDocs/Aug2023QHL/3001270.pdf","H")</f>
        <v>H</v>
      </c>
      <c r="X112" s="16" t="str">
        <f>HYPERLINK("http://www.aruplab.com/Testing-Information/resources/HotLines/TDMix/Aug2023QHL/3001270.xlsx","T")</f>
        <v>T</v>
      </c>
      <c r="Y112" s="16" t="str">
        <f>HYPERLINK("http://www.aruplab.com/Testing-Information/resources/HotLines/Sample_Reports/Aug2023QHL/3001270_Gamma Aminobutyric Acid Receptor, Type B GABA-BR Antibody, IgG by CBA-IFA with Reflex to Titer, Serum_GABA-B SER.pdf","E")</f>
        <v>E</v>
      </c>
      <c r="Z112" s="7" t="s">
        <v>0</v>
      </c>
      <c r="AA112" s="8">
        <v>45159</v>
      </c>
    </row>
    <row r="113" spans="1:27" ht="90">
      <c r="A113" s="6" t="s">
        <v>345</v>
      </c>
      <c r="B113" s="6" t="s">
        <v>346</v>
      </c>
      <c r="C113" s="6" t="s">
        <v>347</v>
      </c>
      <c r="D113" s="7" t="s">
        <v>0</v>
      </c>
      <c r="E113" s="7" t="s">
        <v>0</v>
      </c>
      <c r="F113" s="7" t="s">
        <v>0</v>
      </c>
      <c r="G113" s="7" t="s">
        <v>0</v>
      </c>
      <c r="H113" s="7" t="s">
        <v>0</v>
      </c>
      <c r="I113" s="7" t="s">
        <v>0</v>
      </c>
      <c r="J113" s="7" t="s">
        <v>35</v>
      </c>
      <c r="K113" s="7" t="s">
        <v>0</v>
      </c>
      <c r="L113" s="7" t="s">
        <v>35</v>
      </c>
      <c r="M113" s="7" t="s">
        <v>0</v>
      </c>
      <c r="N113" s="7" t="s">
        <v>0</v>
      </c>
      <c r="O113" s="7" t="s">
        <v>0</v>
      </c>
      <c r="P113" s="7" t="s">
        <v>0</v>
      </c>
      <c r="Q113" s="7" t="s">
        <v>0</v>
      </c>
      <c r="R113" s="7" t="s">
        <v>0</v>
      </c>
      <c r="S113" s="7" t="s">
        <v>0</v>
      </c>
      <c r="T113" s="7" t="s">
        <v>0</v>
      </c>
      <c r="U113" s="7" t="s">
        <v>0</v>
      </c>
      <c r="V113" s="7" t="s">
        <v>0</v>
      </c>
      <c r="W113" s="16" t="str">
        <f>HYPERLINK("http://www.aruplab.com/Testing-Information/resources/HotLines/HotLineDocs/Aug2023QHL/3001277.pdf","H")</f>
        <v>H</v>
      </c>
      <c r="X113" s="16" t="str">
        <f>HYPERLINK("http://www.aruplab.com/Testing-Information/resources/HotLines/TDMix/Aug2023QHL/3001277.xlsx","T")</f>
        <v>T</v>
      </c>
      <c r="Y113" s="16" t="str">
        <f>HYPERLINK("http://www.aruplab.com/Testing-Information/resources/HotLines/Sample_Reports/Aug2023QHL/3001277_Myelin Oligodendrocyte Glycoprotein MOG Antibody, IgG by CBA-IFA with Reflex to Titer, Serum_MOG SER.pdf","E")</f>
        <v>E</v>
      </c>
      <c r="Z113" s="7" t="s">
        <v>0</v>
      </c>
      <c r="AA113" s="8">
        <v>45159</v>
      </c>
    </row>
    <row r="114" spans="1:27" ht="60">
      <c r="A114" s="6" t="s">
        <v>348</v>
      </c>
      <c r="B114" s="6" t="s">
        <v>349</v>
      </c>
      <c r="C114" s="6" t="s">
        <v>350</v>
      </c>
      <c r="D114" s="7" t="s">
        <v>0</v>
      </c>
      <c r="E114" s="7" t="s">
        <v>0</v>
      </c>
      <c r="F114" s="7" t="s">
        <v>0</v>
      </c>
      <c r="G114" s="7" t="s">
        <v>0</v>
      </c>
      <c r="H114" s="7" t="s">
        <v>0</v>
      </c>
      <c r="I114" s="7" t="s">
        <v>0</v>
      </c>
      <c r="J114" s="7" t="s">
        <v>0</v>
      </c>
      <c r="K114" s="7" t="s">
        <v>0</v>
      </c>
      <c r="L114" s="7" t="s">
        <v>35</v>
      </c>
      <c r="M114" s="7" t="s">
        <v>0</v>
      </c>
      <c r="N114" s="7" t="s">
        <v>0</v>
      </c>
      <c r="O114" s="7" t="s">
        <v>0</v>
      </c>
      <c r="P114" s="7" t="s">
        <v>0</v>
      </c>
      <c r="Q114" s="7" t="s">
        <v>0</v>
      </c>
      <c r="R114" s="7" t="s">
        <v>0</v>
      </c>
      <c r="S114" s="7" t="s">
        <v>0</v>
      </c>
      <c r="T114" s="7" t="s">
        <v>0</v>
      </c>
      <c r="U114" s="7" t="s">
        <v>0</v>
      </c>
      <c r="V114" s="7" t="s">
        <v>0</v>
      </c>
      <c r="W114" s="16" t="str">
        <f>HYPERLINK("http://www.aruplab.com/Testing-Information/resources/HotLines/HotLineDocs/Aug2023QHL/3001283.pdf","H")</f>
        <v>H</v>
      </c>
      <c r="X114" s="16" t="str">
        <f>HYPERLINK("http://www.aruplab.com/Testing-Information/resources/HotLines/TDMix/Aug2023QHL/3001283.xlsx","T")</f>
        <v>T</v>
      </c>
      <c r="Y114" s="16" t="str">
        <f>HYPERLINK("http://www.aruplab.com/Testing-Information/resources/HotLines/Sample_Reports/Aug2023QHL/3001283_Autoimmune CNS Demyelinating Disease Reflexive Panel_CNS PAN.pdf","E")</f>
        <v>E</v>
      </c>
      <c r="Z114" s="7" t="s">
        <v>0</v>
      </c>
      <c r="AA114" s="8">
        <v>45159</v>
      </c>
    </row>
    <row r="115" spans="1:27" ht="60">
      <c r="A115" s="6" t="s">
        <v>351</v>
      </c>
      <c r="B115" s="6" t="s">
        <v>352</v>
      </c>
      <c r="C115" s="6" t="s">
        <v>353</v>
      </c>
      <c r="D115" s="7" t="s">
        <v>35</v>
      </c>
      <c r="E115" s="7" t="s">
        <v>0</v>
      </c>
      <c r="F115" s="7" t="s">
        <v>0</v>
      </c>
      <c r="G115" s="7" t="s">
        <v>0</v>
      </c>
      <c r="H115" s="7" t="s">
        <v>0</v>
      </c>
      <c r="I115" s="7" t="s">
        <v>0</v>
      </c>
      <c r="J115" s="7" t="s">
        <v>0</v>
      </c>
      <c r="K115" s="7" t="s">
        <v>0</v>
      </c>
      <c r="L115" s="7" t="s">
        <v>0</v>
      </c>
      <c r="M115" s="7" t="s">
        <v>0</v>
      </c>
      <c r="N115" s="7" t="s">
        <v>0</v>
      </c>
      <c r="O115" s="7" t="s">
        <v>0</v>
      </c>
      <c r="P115" s="7" t="s">
        <v>0</v>
      </c>
      <c r="Q115" s="7" t="s">
        <v>0</v>
      </c>
      <c r="R115" s="7" t="s">
        <v>0</v>
      </c>
      <c r="S115" s="7" t="s">
        <v>0</v>
      </c>
      <c r="T115" s="7" t="s">
        <v>0</v>
      </c>
      <c r="U115" s="7" t="s">
        <v>0</v>
      </c>
      <c r="V115" s="7" t="s">
        <v>0</v>
      </c>
      <c r="W115" s="16" t="str">
        <f>HYPERLINK("http://www.aruplab.com/Testing-Information/resources/HotLines/HotLineDocs/Aug2023QHL/3001591.pdf","H")</f>
        <v>H</v>
      </c>
      <c r="X115" s="16" t="str">
        <f>HYPERLINK("http://www.aruplab.com/Testing-Information/resources/HotLines/TDMix/Aug2023QHL/3001591.xlsx","T")</f>
        <v>T</v>
      </c>
      <c r="Y115" s="16" t="str">
        <f>HYPERLINK("http://www.aruplab.com/Testing-Information/resources/HotLines/Sample_Reports/Aug2023QHL/3001591_Comprehensive Epilepsy Panel Sequencing and Deletion Duplication_EPI NGS.pdf","E")</f>
        <v>E</v>
      </c>
      <c r="Z115" s="16" t="str">
        <f>HYPERLINK("https://connect.aruplab.com/Pricing/TestPrice/3001591/D08212023","P")</f>
        <v>P</v>
      </c>
      <c r="AA115" s="8">
        <v>45159</v>
      </c>
    </row>
    <row r="116" spans="1:27" ht="45">
      <c r="A116" s="6" t="s">
        <v>354</v>
      </c>
      <c r="B116" s="6" t="s">
        <v>355</v>
      </c>
      <c r="C116" s="6" t="s">
        <v>356</v>
      </c>
      <c r="D116" s="7" t="s">
        <v>0</v>
      </c>
      <c r="E116" s="7" t="s">
        <v>0</v>
      </c>
      <c r="F116" s="7" t="s">
        <v>0</v>
      </c>
      <c r="G116" s="7" t="s">
        <v>35</v>
      </c>
      <c r="H116" s="7" t="s">
        <v>0</v>
      </c>
      <c r="I116" s="7" t="s">
        <v>0</v>
      </c>
      <c r="J116" s="7" t="s">
        <v>35</v>
      </c>
      <c r="K116" s="7" t="s">
        <v>0</v>
      </c>
      <c r="L116" s="7" t="s">
        <v>0</v>
      </c>
      <c r="M116" s="7" t="s">
        <v>35</v>
      </c>
      <c r="N116" s="7" t="s">
        <v>0</v>
      </c>
      <c r="O116" s="7" t="s">
        <v>0</v>
      </c>
      <c r="P116" s="7" t="s">
        <v>0</v>
      </c>
      <c r="Q116" s="7" t="s">
        <v>0</v>
      </c>
      <c r="R116" s="7" t="s">
        <v>0</v>
      </c>
      <c r="S116" s="7" t="s">
        <v>0</v>
      </c>
      <c r="T116" s="7" t="s">
        <v>0</v>
      </c>
      <c r="U116" s="7" t="s">
        <v>0</v>
      </c>
      <c r="V116" s="7" t="s">
        <v>0</v>
      </c>
      <c r="W116" s="16" t="str">
        <f>HYPERLINK("http://www.aruplab.com/Testing-Information/resources/HotLines/HotLineDocs/Aug2023QHL/3001784.pdf","H")</f>
        <v>H</v>
      </c>
      <c r="X116" s="16" t="str">
        <f>HYPERLINK("http://www.aruplab.com/Testing-Information/resources/HotLines/TDMix/Aug2023QHL/3001784.xlsx","T")</f>
        <v>T</v>
      </c>
      <c r="Y116" s="7" t="s">
        <v>0</v>
      </c>
      <c r="Z116" s="7" t="s">
        <v>0</v>
      </c>
      <c r="AA116" s="8">
        <v>45159</v>
      </c>
    </row>
    <row r="117" spans="1:27" ht="30">
      <c r="A117" s="6" t="s">
        <v>357</v>
      </c>
      <c r="B117" s="6" t="s">
        <v>358</v>
      </c>
      <c r="C117" s="6" t="s">
        <v>359</v>
      </c>
      <c r="D117" s="7" t="s">
        <v>0</v>
      </c>
      <c r="E117" s="7" t="s">
        <v>0</v>
      </c>
      <c r="F117" s="7" t="s">
        <v>35</v>
      </c>
      <c r="G117" s="7" t="s">
        <v>0</v>
      </c>
      <c r="H117" s="7" t="s">
        <v>0</v>
      </c>
      <c r="I117" s="7" t="s">
        <v>0</v>
      </c>
      <c r="J117" s="7" t="s">
        <v>0</v>
      </c>
      <c r="K117" s="7" t="s">
        <v>0</v>
      </c>
      <c r="L117" s="7" t="s">
        <v>0</v>
      </c>
      <c r="M117" s="7" t="s">
        <v>0</v>
      </c>
      <c r="N117" s="7" t="s">
        <v>0</v>
      </c>
      <c r="O117" s="7" t="s">
        <v>0</v>
      </c>
      <c r="P117" s="7" t="s">
        <v>0</v>
      </c>
      <c r="Q117" s="7" t="s">
        <v>0</v>
      </c>
      <c r="R117" s="7" t="s">
        <v>0</v>
      </c>
      <c r="S117" s="7" t="s">
        <v>0</v>
      </c>
      <c r="T117" s="7" t="s">
        <v>0</v>
      </c>
      <c r="U117" s="7" t="s">
        <v>0</v>
      </c>
      <c r="V117" s="7" t="s">
        <v>0</v>
      </c>
      <c r="W117" s="16" t="str">
        <f>HYPERLINK("http://www.aruplab.com/Testing-Information/resources/HotLines/HotLineDocs/Aug2023QHL/3001947.pdf","H")</f>
        <v>H</v>
      </c>
      <c r="X117" s="7" t="s">
        <v>0</v>
      </c>
      <c r="Y117" s="7" t="s">
        <v>0</v>
      </c>
      <c r="Z117" s="7" t="s">
        <v>0</v>
      </c>
      <c r="AA117" s="8">
        <v>45159</v>
      </c>
    </row>
    <row r="118" spans="1:27" ht="90">
      <c r="A118" s="6" t="s">
        <v>360</v>
      </c>
      <c r="B118" s="6" t="s">
        <v>361</v>
      </c>
      <c r="C118" s="6" t="s">
        <v>362</v>
      </c>
      <c r="D118" s="7" t="s">
        <v>0</v>
      </c>
      <c r="E118" s="7" t="s">
        <v>0</v>
      </c>
      <c r="F118" s="7" t="s">
        <v>0</v>
      </c>
      <c r="G118" s="7" t="s">
        <v>0</v>
      </c>
      <c r="H118" s="7" t="s">
        <v>0</v>
      </c>
      <c r="I118" s="7" t="s">
        <v>0</v>
      </c>
      <c r="J118" s="7" t="s">
        <v>0</v>
      </c>
      <c r="K118" s="7" t="s">
        <v>0</v>
      </c>
      <c r="L118" s="7" t="s">
        <v>0</v>
      </c>
      <c r="M118" s="7" t="s">
        <v>0</v>
      </c>
      <c r="N118" s="7" t="s">
        <v>0</v>
      </c>
      <c r="O118" s="7" t="s">
        <v>0</v>
      </c>
      <c r="P118" s="7" t="s">
        <v>0</v>
      </c>
      <c r="Q118" s="7" t="s">
        <v>0</v>
      </c>
      <c r="R118" s="7" t="s">
        <v>0</v>
      </c>
      <c r="S118" s="7" t="s">
        <v>0</v>
      </c>
      <c r="T118" s="7" t="s">
        <v>0</v>
      </c>
      <c r="U118" s="7" t="s">
        <v>35</v>
      </c>
      <c r="V118" s="7" t="s">
        <v>0</v>
      </c>
      <c r="W118" s="16" t="str">
        <f>HYPERLINK("http://www.aruplab.com/Testing-Information/resources/HotLines/HotLineDocs/Aug2023QHL/2023.07.07 Aug Quarterly Hotline Inactivations.pdf","H")</f>
        <v>H</v>
      </c>
      <c r="X118" s="7" t="s">
        <v>0</v>
      </c>
      <c r="Y118" s="7" t="s">
        <v>0</v>
      </c>
      <c r="Z118" s="7" t="s">
        <v>0</v>
      </c>
      <c r="AA118" s="8">
        <v>45159</v>
      </c>
    </row>
    <row r="119" spans="1:27" ht="75">
      <c r="A119" s="6" t="s">
        <v>363</v>
      </c>
      <c r="B119" s="6" t="s">
        <v>364</v>
      </c>
      <c r="C119" s="6" t="s">
        <v>365</v>
      </c>
      <c r="D119" s="7" t="s">
        <v>0</v>
      </c>
      <c r="E119" s="7" t="s">
        <v>0</v>
      </c>
      <c r="F119" s="7" t="s">
        <v>0</v>
      </c>
      <c r="G119" s="7" t="s">
        <v>0</v>
      </c>
      <c r="H119" s="7" t="s">
        <v>0</v>
      </c>
      <c r="I119" s="7" t="s">
        <v>0</v>
      </c>
      <c r="J119" s="7" t="s">
        <v>0</v>
      </c>
      <c r="K119" s="7" t="s">
        <v>0</v>
      </c>
      <c r="L119" s="7" t="s">
        <v>0</v>
      </c>
      <c r="M119" s="7" t="s">
        <v>0</v>
      </c>
      <c r="N119" s="7" t="s">
        <v>0</v>
      </c>
      <c r="O119" s="7" t="s">
        <v>0</v>
      </c>
      <c r="P119" s="7" t="s">
        <v>0</v>
      </c>
      <c r="Q119" s="7" t="s">
        <v>0</v>
      </c>
      <c r="R119" s="7" t="s">
        <v>0</v>
      </c>
      <c r="S119" s="7" t="s">
        <v>0</v>
      </c>
      <c r="T119" s="7" t="s">
        <v>0</v>
      </c>
      <c r="U119" s="7" t="s">
        <v>35</v>
      </c>
      <c r="V119" s="7" t="s">
        <v>0</v>
      </c>
      <c r="W119" s="16" t="str">
        <f>HYPERLINK("http://www.aruplab.com/Testing-Information/resources/HotLines/HotLineDocs/Aug2023QHL/2023.07.07 Aug Quarterly Hotline Inactivations.pdf","H")</f>
        <v>H</v>
      </c>
      <c r="X119" s="7" t="s">
        <v>0</v>
      </c>
      <c r="Y119" s="7" t="s">
        <v>0</v>
      </c>
      <c r="Z119" s="7" t="s">
        <v>0</v>
      </c>
      <c r="AA119" s="8">
        <v>45159</v>
      </c>
    </row>
    <row r="120" spans="1:27" ht="60">
      <c r="A120" s="6" t="s">
        <v>366</v>
      </c>
      <c r="B120" s="6" t="s">
        <v>367</v>
      </c>
      <c r="C120" s="6" t="s">
        <v>368</v>
      </c>
      <c r="D120" s="7" t="s">
        <v>0</v>
      </c>
      <c r="E120" s="7" t="s">
        <v>35</v>
      </c>
      <c r="F120" s="7" t="s">
        <v>0</v>
      </c>
      <c r="G120" s="7" t="s">
        <v>0</v>
      </c>
      <c r="H120" s="7" t="s">
        <v>0</v>
      </c>
      <c r="I120" s="7" t="s">
        <v>0</v>
      </c>
      <c r="J120" s="7" t="s">
        <v>35</v>
      </c>
      <c r="K120" s="7" t="s">
        <v>0</v>
      </c>
      <c r="L120" s="7" t="s">
        <v>35</v>
      </c>
      <c r="M120" s="7" t="s">
        <v>0</v>
      </c>
      <c r="N120" s="7" t="s">
        <v>0</v>
      </c>
      <c r="O120" s="7" t="s">
        <v>0</v>
      </c>
      <c r="P120" s="7" t="s">
        <v>0</v>
      </c>
      <c r="Q120" s="7" t="s">
        <v>0</v>
      </c>
      <c r="R120" s="7" t="s">
        <v>0</v>
      </c>
      <c r="S120" s="7" t="s">
        <v>0</v>
      </c>
      <c r="T120" s="7" t="s">
        <v>0</v>
      </c>
      <c r="U120" s="7" t="s">
        <v>0</v>
      </c>
      <c r="V120" s="7" t="s">
        <v>0</v>
      </c>
      <c r="W120" s="16" t="str">
        <f>HYPERLINK("http://www.aruplab.com/Testing-Information/resources/HotLines/HotLineDocs/Aug2023QHL/3001986.pdf","H")</f>
        <v>H</v>
      </c>
      <c r="X120" s="16" t="str">
        <f>HYPERLINK("http://www.aruplab.com/Testing-Information/resources/HotLines/TDMix/Aug2023QHL/3001986.xlsx","T")</f>
        <v>T</v>
      </c>
      <c r="Y120" s="16" t="str">
        <f>HYPERLINK("http://www.aruplab.com/Testing-Information/resources/HotLines/Sample_Reports/Aug2023QHL/3001986_Contactin-Associated Protein-2 Antibody, IgG by CBA-IFA with Reflex to Titer, CSF_CASPR2GCSF.pdf","E")</f>
        <v>E</v>
      </c>
      <c r="Z120" s="7" t="s">
        <v>0</v>
      </c>
      <c r="AA120" s="8">
        <v>45159</v>
      </c>
    </row>
    <row r="121" spans="1:27" ht="75">
      <c r="A121" s="6" t="s">
        <v>369</v>
      </c>
      <c r="B121" s="6" t="s">
        <v>370</v>
      </c>
      <c r="C121" s="6" t="s">
        <v>371</v>
      </c>
      <c r="D121" s="7" t="s">
        <v>0</v>
      </c>
      <c r="E121" s="7" t="s">
        <v>35</v>
      </c>
      <c r="F121" s="7" t="s">
        <v>0</v>
      </c>
      <c r="G121" s="7" t="s">
        <v>0</v>
      </c>
      <c r="H121" s="7" t="s">
        <v>0</v>
      </c>
      <c r="I121" s="7" t="s">
        <v>0</v>
      </c>
      <c r="J121" s="7" t="s">
        <v>35</v>
      </c>
      <c r="K121" s="7" t="s">
        <v>0</v>
      </c>
      <c r="L121" s="7" t="s">
        <v>35</v>
      </c>
      <c r="M121" s="7" t="s">
        <v>0</v>
      </c>
      <c r="N121" s="7" t="s">
        <v>0</v>
      </c>
      <c r="O121" s="7" t="s">
        <v>0</v>
      </c>
      <c r="P121" s="7" t="s">
        <v>0</v>
      </c>
      <c r="Q121" s="7" t="s">
        <v>0</v>
      </c>
      <c r="R121" s="7" t="s">
        <v>0</v>
      </c>
      <c r="S121" s="7" t="s">
        <v>0</v>
      </c>
      <c r="T121" s="7" t="s">
        <v>0</v>
      </c>
      <c r="U121" s="7" t="s">
        <v>0</v>
      </c>
      <c r="V121" s="7" t="s">
        <v>0</v>
      </c>
      <c r="W121" s="16" t="str">
        <f>HYPERLINK("http://www.aruplab.com/Testing-Information/resources/HotLines/HotLineDocs/Aug2023QHL/3001992.pdf","H")</f>
        <v>H</v>
      </c>
      <c r="X121" s="16" t="str">
        <f>HYPERLINK("http://www.aruplab.com/Testing-Information/resources/HotLines/TDMix/Aug2023QHL/3001992.xlsx","T")</f>
        <v>T</v>
      </c>
      <c r="Y121" s="16" t="str">
        <f>HYPERLINK("http://www.aruplab.com/Testing-Information/resources/HotLines/Sample_Reports/Aug2023QHL/3001992_Leucine-Rich, Glioma-Inactivated Protein 1 Antibody, IgG by CBA-IFA with Reflex to Titer, CSF_LGI1IGGCSF.pdf","E")</f>
        <v>E</v>
      </c>
      <c r="Z121" s="7" t="s">
        <v>0</v>
      </c>
      <c r="AA121" s="8">
        <v>45159</v>
      </c>
    </row>
    <row r="122" spans="1:27" ht="75">
      <c r="A122" s="6" t="s">
        <v>372</v>
      </c>
      <c r="B122" s="6" t="s">
        <v>373</v>
      </c>
      <c r="C122" s="6" t="s">
        <v>374</v>
      </c>
      <c r="D122" s="7" t="s">
        <v>0</v>
      </c>
      <c r="E122" s="7" t="s">
        <v>0</v>
      </c>
      <c r="F122" s="7" t="s">
        <v>0</v>
      </c>
      <c r="G122" s="7" t="s">
        <v>0</v>
      </c>
      <c r="H122" s="7" t="s">
        <v>0</v>
      </c>
      <c r="I122" s="7" t="s">
        <v>0</v>
      </c>
      <c r="J122" s="7" t="s">
        <v>0</v>
      </c>
      <c r="K122" s="7" t="s">
        <v>0</v>
      </c>
      <c r="L122" s="7" t="s">
        <v>35</v>
      </c>
      <c r="M122" s="7" t="s">
        <v>0</v>
      </c>
      <c r="N122" s="7" t="s">
        <v>0</v>
      </c>
      <c r="O122" s="7" t="s">
        <v>0</v>
      </c>
      <c r="P122" s="7" t="s">
        <v>0</v>
      </c>
      <c r="Q122" s="7" t="s">
        <v>0</v>
      </c>
      <c r="R122" s="7" t="s">
        <v>0</v>
      </c>
      <c r="S122" s="7" t="s">
        <v>0</v>
      </c>
      <c r="T122" s="7" t="s">
        <v>0</v>
      </c>
      <c r="U122" s="7" t="s">
        <v>0</v>
      </c>
      <c r="V122" s="7" t="s">
        <v>0</v>
      </c>
      <c r="W122" s="16" t="str">
        <f>HYPERLINK("http://www.aruplab.com/Testing-Information/resources/HotLines/HotLineDocs/Aug2023QHL/3001996.pdf","H")</f>
        <v>H</v>
      </c>
      <c r="X122" s="16" t="str">
        <f>HYPERLINK("http://www.aruplab.com/Testing-Information/resources/HotLines/TDMix/Aug2023QHL/3001996.xlsx","T")</f>
        <v>T</v>
      </c>
      <c r="Y122" s="16" t="str">
        <f>HYPERLINK("http://www.aruplab.com/Testing-Information/resources/HotLines/Sample_Reports/Aug2023QHL/3001996_Voltage-Gated Potassium Channel VGKC Complex Antibody Panel with Reflex to Titer, CSF_VGKCCSFPAN.pdf","E")</f>
        <v>E</v>
      </c>
      <c r="Z122" s="7" t="s">
        <v>0</v>
      </c>
      <c r="AA122" s="8">
        <v>45159</v>
      </c>
    </row>
    <row r="123" spans="1:27" ht="30">
      <c r="A123" s="6" t="s">
        <v>375</v>
      </c>
      <c r="B123" s="6" t="s">
        <v>376</v>
      </c>
      <c r="C123" s="6" t="s">
        <v>377</v>
      </c>
      <c r="D123" s="7" t="s">
        <v>0</v>
      </c>
      <c r="E123" s="7" t="s">
        <v>0</v>
      </c>
      <c r="F123" s="7" t="s">
        <v>35</v>
      </c>
      <c r="G123" s="7" t="s">
        <v>0</v>
      </c>
      <c r="H123" s="7" t="s">
        <v>0</v>
      </c>
      <c r="I123" s="7" t="s">
        <v>35</v>
      </c>
      <c r="J123" s="7" t="s">
        <v>35</v>
      </c>
      <c r="K123" s="7" t="s">
        <v>0</v>
      </c>
      <c r="L123" s="7" t="s">
        <v>0</v>
      </c>
      <c r="M123" s="7" t="s">
        <v>0</v>
      </c>
      <c r="N123" s="7" t="s">
        <v>0</v>
      </c>
      <c r="O123" s="7" t="s">
        <v>0</v>
      </c>
      <c r="P123" s="7" t="s">
        <v>0</v>
      </c>
      <c r="Q123" s="7" t="s">
        <v>0</v>
      </c>
      <c r="R123" s="7" t="s">
        <v>0</v>
      </c>
      <c r="S123" s="7" t="s">
        <v>0</v>
      </c>
      <c r="T123" s="7" t="s">
        <v>0</v>
      </c>
      <c r="U123" s="7" t="s">
        <v>0</v>
      </c>
      <c r="V123" s="7" t="s">
        <v>0</v>
      </c>
      <c r="W123" s="16" t="str">
        <f>HYPERLINK("http://www.aruplab.com/Testing-Information/resources/HotLines/HotLineDocs/Aug2023QHL/3002001.pdf","H")</f>
        <v>H</v>
      </c>
      <c r="X123" s="7" t="s">
        <v>0</v>
      </c>
      <c r="Y123" s="7" t="s">
        <v>0</v>
      </c>
      <c r="Z123" s="7" t="s">
        <v>0</v>
      </c>
      <c r="AA123" s="8">
        <v>45159</v>
      </c>
    </row>
    <row r="124" spans="1:27" ht="30">
      <c r="A124" s="6" t="s">
        <v>378</v>
      </c>
      <c r="B124" s="6" t="s">
        <v>379</v>
      </c>
      <c r="C124" s="6" t="s">
        <v>380</v>
      </c>
      <c r="D124" s="7" t="s">
        <v>0</v>
      </c>
      <c r="E124" s="7" t="s">
        <v>0</v>
      </c>
      <c r="F124" s="7" t="s">
        <v>35</v>
      </c>
      <c r="G124" s="7" t="s">
        <v>0</v>
      </c>
      <c r="H124" s="7" t="s">
        <v>0</v>
      </c>
      <c r="I124" s="7" t="s">
        <v>35</v>
      </c>
      <c r="J124" s="7" t="s">
        <v>35</v>
      </c>
      <c r="K124" s="7" t="s">
        <v>0</v>
      </c>
      <c r="L124" s="7" t="s">
        <v>0</v>
      </c>
      <c r="M124" s="7" t="s">
        <v>0</v>
      </c>
      <c r="N124" s="7" t="s">
        <v>0</v>
      </c>
      <c r="O124" s="7" t="s">
        <v>0</v>
      </c>
      <c r="P124" s="7" t="s">
        <v>0</v>
      </c>
      <c r="Q124" s="7" t="s">
        <v>0</v>
      </c>
      <c r="R124" s="7" t="s">
        <v>0</v>
      </c>
      <c r="S124" s="7" t="s">
        <v>0</v>
      </c>
      <c r="T124" s="7" t="s">
        <v>0</v>
      </c>
      <c r="U124" s="7" t="s">
        <v>0</v>
      </c>
      <c r="V124" s="7" t="s">
        <v>0</v>
      </c>
      <c r="W124" s="16" t="str">
        <f>HYPERLINK("http://www.aruplab.com/Testing-Information/resources/HotLines/HotLineDocs/Aug2023QHL/3002002.pdf","H")</f>
        <v>H</v>
      </c>
      <c r="X124" s="7" t="s">
        <v>0</v>
      </c>
      <c r="Y124" s="7" t="s">
        <v>0</v>
      </c>
      <c r="Z124" s="7" t="s">
        <v>0</v>
      </c>
      <c r="AA124" s="8">
        <v>45159</v>
      </c>
    </row>
    <row r="125" spans="1:27" ht="30">
      <c r="A125" s="6" t="s">
        <v>381</v>
      </c>
      <c r="B125" s="6" t="s">
        <v>382</v>
      </c>
      <c r="C125" s="6" t="s">
        <v>383</v>
      </c>
      <c r="D125" s="7" t="s">
        <v>0</v>
      </c>
      <c r="E125" s="7" t="s">
        <v>0</v>
      </c>
      <c r="F125" s="7" t="s">
        <v>35</v>
      </c>
      <c r="G125" s="7" t="s">
        <v>0</v>
      </c>
      <c r="H125" s="7" t="s">
        <v>0</v>
      </c>
      <c r="I125" s="7" t="s">
        <v>35</v>
      </c>
      <c r="J125" s="7" t="s">
        <v>35</v>
      </c>
      <c r="K125" s="7" t="s">
        <v>0</v>
      </c>
      <c r="L125" s="7" t="s">
        <v>0</v>
      </c>
      <c r="M125" s="7" t="s">
        <v>0</v>
      </c>
      <c r="N125" s="7" t="s">
        <v>0</v>
      </c>
      <c r="O125" s="7" t="s">
        <v>0</v>
      </c>
      <c r="P125" s="7" t="s">
        <v>0</v>
      </c>
      <c r="Q125" s="7" t="s">
        <v>0</v>
      </c>
      <c r="R125" s="7" t="s">
        <v>0</v>
      </c>
      <c r="S125" s="7" t="s">
        <v>0</v>
      </c>
      <c r="T125" s="7" t="s">
        <v>0</v>
      </c>
      <c r="U125" s="7" t="s">
        <v>0</v>
      </c>
      <c r="V125" s="7" t="s">
        <v>0</v>
      </c>
      <c r="W125" s="16" t="str">
        <f>HYPERLINK("http://www.aruplab.com/Testing-Information/resources/HotLines/HotLineDocs/Aug2023QHL/3002003.pdf","H")</f>
        <v>H</v>
      </c>
      <c r="X125" s="7" t="s">
        <v>0</v>
      </c>
      <c r="Y125" s="7" t="s">
        <v>0</v>
      </c>
      <c r="Z125" s="7" t="s">
        <v>0</v>
      </c>
      <c r="AA125" s="8">
        <v>45159</v>
      </c>
    </row>
    <row r="126" spans="1:27" ht="60">
      <c r="A126" s="6" t="s">
        <v>384</v>
      </c>
      <c r="B126" s="6" t="s">
        <v>385</v>
      </c>
      <c r="C126" s="6" t="s">
        <v>386</v>
      </c>
      <c r="D126" s="7" t="s">
        <v>0</v>
      </c>
      <c r="E126" s="7" t="s">
        <v>0</v>
      </c>
      <c r="F126" s="7" t="s">
        <v>0</v>
      </c>
      <c r="G126" s="7" t="s">
        <v>0</v>
      </c>
      <c r="H126" s="7" t="s">
        <v>35</v>
      </c>
      <c r="I126" s="7" t="s">
        <v>0</v>
      </c>
      <c r="J126" s="7" t="s">
        <v>0</v>
      </c>
      <c r="K126" s="7" t="s">
        <v>0</v>
      </c>
      <c r="L126" s="7" t="s">
        <v>0</v>
      </c>
      <c r="M126" s="7" t="s">
        <v>0</v>
      </c>
      <c r="N126" s="7" t="s">
        <v>0</v>
      </c>
      <c r="O126" s="7" t="s">
        <v>0</v>
      </c>
      <c r="P126" s="7" t="s">
        <v>0</v>
      </c>
      <c r="Q126" s="7" t="s">
        <v>0</v>
      </c>
      <c r="R126" s="7" t="s">
        <v>0</v>
      </c>
      <c r="S126" s="7" t="s">
        <v>0</v>
      </c>
      <c r="T126" s="7" t="s">
        <v>0</v>
      </c>
      <c r="U126" s="7" t="s">
        <v>0</v>
      </c>
      <c r="V126" s="7" t="s">
        <v>0</v>
      </c>
      <c r="W126" s="16" t="str">
        <f>HYPERLINK("http://www.aruplab.com/Testing-Information/resources/HotLines/HotLineDocs/Aug2023QHL/3002069.pdf","H")</f>
        <v>H</v>
      </c>
      <c r="X126" s="7" t="s">
        <v>0</v>
      </c>
      <c r="Y126" s="7" t="s">
        <v>0</v>
      </c>
      <c r="Z126" s="7" t="s">
        <v>0</v>
      </c>
      <c r="AA126" s="8">
        <v>45159</v>
      </c>
    </row>
    <row r="127" spans="1:27" ht="45">
      <c r="A127" s="6" t="s">
        <v>387</v>
      </c>
      <c r="B127" s="6" t="s">
        <v>388</v>
      </c>
      <c r="C127" s="6" t="s">
        <v>389</v>
      </c>
      <c r="D127" s="7" t="s">
        <v>0</v>
      </c>
      <c r="E127" s="7" t="s">
        <v>35</v>
      </c>
      <c r="F127" s="7" t="s">
        <v>0</v>
      </c>
      <c r="G127" s="7" t="s">
        <v>0</v>
      </c>
      <c r="H127" s="7" t="s">
        <v>0</v>
      </c>
      <c r="I127" s="7" t="s">
        <v>0</v>
      </c>
      <c r="J127" s="7" t="s">
        <v>35</v>
      </c>
      <c r="K127" s="7" t="s">
        <v>0</v>
      </c>
      <c r="L127" s="7" t="s">
        <v>35</v>
      </c>
      <c r="M127" s="7" t="s">
        <v>0</v>
      </c>
      <c r="N127" s="7" t="s">
        <v>0</v>
      </c>
      <c r="O127" s="7" t="s">
        <v>0</v>
      </c>
      <c r="P127" s="7" t="s">
        <v>0</v>
      </c>
      <c r="Q127" s="7" t="s">
        <v>0</v>
      </c>
      <c r="R127" s="7" t="s">
        <v>0</v>
      </c>
      <c r="S127" s="7" t="s">
        <v>0</v>
      </c>
      <c r="T127" s="7" t="s">
        <v>0</v>
      </c>
      <c r="U127" s="7" t="s">
        <v>0</v>
      </c>
      <c r="V127" s="7" t="s">
        <v>0</v>
      </c>
      <c r="W127" s="16" t="str">
        <f>HYPERLINK("http://www.aruplab.com/Testing-Information/resources/HotLines/HotLineDocs/Aug2023QHL/3002257.pdf","H")</f>
        <v>H</v>
      </c>
      <c r="X127" s="16" t="str">
        <f>HYPERLINK("http://www.aruplab.com/Testing-Information/resources/HotLines/TDMix/Aug2023QHL/3002257.xlsx","T")</f>
        <v>T</v>
      </c>
      <c r="Y127" s="16" t="str">
        <f>HYPERLINK("http://www.aruplab.com/Testing-Information/resources/HotLines/Sample_Reports/Aug2023QHL/3002257_CV21 Antibody, IgG by CBA-IFA with Reflex to Titer, CSF_CV21 CSF.pdf","E")</f>
        <v>E</v>
      </c>
      <c r="Z127" s="7" t="s">
        <v>0</v>
      </c>
      <c r="AA127" s="8">
        <v>45159</v>
      </c>
    </row>
    <row r="128" spans="1:27" ht="30">
      <c r="A128" s="6" t="s">
        <v>390</v>
      </c>
      <c r="B128" s="6" t="s">
        <v>391</v>
      </c>
      <c r="C128" s="6" t="s">
        <v>392</v>
      </c>
      <c r="D128" s="7" t="s">
        <v>0</v>
      </c>
      <c r="E128" s="7" t="s">
        <v>0</v>
      </c>
      <c r="F128" s="7" t="s">
        <v>0</v>
      </c>
      <c r="G128" s="7" t="s">
        <v>0</v>
      </c>
      <c r="H128" s="7" t="s">
        <v>0</v>
      </c>
      <c r="I128" s="7" t="s">
        <v>0</v>
      </c>
      <c r="J128" s="7" t="s">
        <v>0</v>
      </c>
      <c r="K128" s="7" t="s">
        <v>0</v>
      </c>
      <c r="L128" s="7" t="s">
        <v>35</v>
      </c>
      <c r="M128" s="7" t="s">
        <v>0</v>
      </c>
      <c r="N128" s="7" t="s">
        <v>0</v>
      </c>
      <c r="O128" s="7" t="s">
        <v>0</v>
      </c>
      <c r="P128" s="7" t="s">
        <v>0</v>
      </c>
      <c r="Q128" s="7" t="s">
        <v>0</v>
      </c>
      <c r="R128" s="7" t="s">
        <v>0</v>
      </c>
      <c r="S128" s="7" t="s">
        <v>0</v>
      </c>
      <c r="T128" s="7" t="s">
        <v>0</v>
      </c>
      <c r="U128" s="7" t="s">
        <v>0</v>
      </c>
      <c r="V128" s="7" t="s">
        <v>0</v>
      </c>
      <c r="W128" s="16" t="str">
        <f>HYPERLINK("http://www.aruplab.com/Testing-Information/resources/HotLines/HotLineDocs/Aug2023QHL/3002929.pdf","H")</f>
        <v>H</v>
      </c>
      <c r="X128" s="16" t="str">
        <f>HYPERLINK("http://www.aruplab.com/Testing-Information/resources/HotLines/TDMix/Aug2023QHL/3002929.xlsx","T")</f>
        <v>T</v>
      </c>
      <c r="Y128" s="16" t="str">
        <f>HYPERLINK("http://www.aruplab.com/Testing-Information/resources/HotLines/Sample_Reports/Aug2023QHL/3002929_Paraneoplastic Reflexive Panel_PNS PAN2.pdf","E")</f>
        <v>E</v>
      </c>
      <c r="Z128" s="7" t="s">
        <v>0</v>
      </c>
      <c r="AA128" s="8">
        <v>45159</v>
      </c>
    </row>
    <row r="129" spans="1:27" ht="60">
      <c r="A129" s="6" t="s">
        <v>393</v>
      </c>
      <c r="B129" s="6" t="s">
        <v>394</v>
      </c>
      <c r="C129" s="6" t="s">
        <v>395</v>
      </c>
      <c r="D129" s="7" t="s">
        <v>0</v>
      </c>
      <c r="E129" s="7" t="s">
        <v>0</v>
      </c>
      <c r="F129" s="7" t="s">
        <v>0</v>
      </c>
      <c r="G129" s="7" t="s">
        <v>0</v>
      </c>
      <c r="H129" s="7" t="s">
        <v>0</v>
      </c>
      <c r="I129" s="7" t="s">
        <v>0</v>
      </c>
      <c r="J129" s="7" t="s">
        <v>0</v>
      </c>
      <c r="K129" s="7" t="s">
        <v>0</v>
      </c>
      <c r="L129" s="7" t="s">
        <v>35</v>
      </c>
      <c r="M129" s="7" t="s">
        <v>0</v>
      </c>
      <c r="N129" s="7" t="s">
        <v>0</v>
      </c>
      <c r="O129" s="7" t="s">
        <v>0</v>
      </c>
      <c r="P129" s="7" t="s">
        <v>0</v>
      </c>
      <c r="Q129" s="7" t="s">
        <v>0</v>
      </c>
      <c r="R129" s="7" t="s">
        <v>0</v>
      </c>
      <c r="S129" s="7" t="s">
        <v>0</v>
      </c>
      <c r="T129" s="7" t="s">
        <v>0</v>
      </c>
      <c r="U129" s="7" t="s">
        <v>0</v>
      </c>
      <c r="V129" s="7" t="s">
        <v>0</v>
      </c>
      <c r="W129" s="16" t="str">
        <f>HYPERLINK("http://www.aruplab.com/Testing-Information/resources/HotLines/HotLineDocs/Aug2023QHL/3003017.pdf","H")</f>
        <v>H</v>
      </c>
      <c r="X129" s="16" t="str">
        <f>HYPERLINK("http://www.aruplab.com/Testing-Information/resources/HotLines/TDMix/Aug2023QHL/3003017.xlsx","T")</f>
        <v>T</v>
      </c>
      <c r="Y129" s="16" t="str">
        <f>HYPERLINK("http://www.aruplab.com/Testing-Information/resources/HotLines/Sample_Reports/Aug2023QHL/3003017_Autoimmune Neuromuscular Junction Reflexive Panel_MUWA R2.pdf","E")</f>
        <v>E</v>
      </c>
      <c r="Z129" s="7" t="s">
        <v>0</v>
      </c>
      <c r="AA129" s="8">
        <v>45159</v>
      </c>
    </row>
    <row r="130" spans="1:27" ht="60">
      <c r="A130" s="6" t="s">
        <v>396</v>
      </c>
      <c r="B130" s="6" t="s">
        <v>397</v>
      </c>
      <c r="C130" s="6" t="s">
        <v>398</v>
      </c>
      <c r="D130" s="7" t="s">
        <v>0</v>
      </c>
      <c r="E130" s="7" t="s">
        <v>0</v>
      </c>
      <c r="F130" s="7" t="s">
        <v>0</v>
      </c>
      <c r="G130" s="7" t="s">
        <v>0</v>
      </c>
      <c r="H130" s="7" t="s">
        <v>35</v>
      </c>
      <c r="I130" s="7" t="s">
        <v>0</v>
      </c>
      <c r="J130" s="7" t="s">
        <v>0</v>
      </c>
      <c r="K130" s="7" t="s">
        <v>0</v>
      </c>
      <c r="L130" s="7" t="s">
        <v>0</v>
      </c>
      <c r="M130" s="7" t="s">
        <v>0</v>
      </c>
      <c r="N130" s="7" t="s">
        <v>0</v>
      </c>
      <c r="O130" s="7" t="s">
        <v>0</v>
      </c>
      <c r="P130" s="7" t="s">
        <v>0</v>
      </c>
      <c r="Q130" s="7" t="s">
        <v>0</v>
      </c>
      <c r="R130" s="7" t="s">
        <v>0</v>
      </c>
      <c r="S130" s="7" t="s">
        <v>0</v>
      </c>
      <c r="T130" s="7" t="s">
        <v>0</v>
      </c>
      <c r="U130" s="7" t="s">
        <v>0</v>
      </c>
      <c r="V130" s="7" t="s">
        <v>0</v>
      </c>
      <c r="W130" s="16" t="str">
        <f>HYPERLINK("http://www.aruplab.com/Testing-Information/resources/HotLines/HotLineDocs/Aug2023QHL/3003142.pdf","H")</f>
        <v>H</v>
      </c>
      <c r="X130" s="7" t="s">
        <v>0</v>
      </c>
      <c r="Y130" s="7" t="s">
        <v>0</v>
      </c>
      <c r="Z130" s="7" t="s">
        <v>0</v>
      </c>
      <c r="AA130" s="8">
        <v>45159</v>
      </c>
    </row>
    <row r="131" spans="1:27" ht="120">
      <c r="A131" s="6" t="s">
        <v>399</v>
      </c>
      <c r="B131" s="6" t="s">
        <v>400</v>
      </c>
      <c r="C131" s="6" t="s">
        <v>401</v>
      </c>
      <c r="D131" s="7" t="s">
        <v>0</v>
      </c>
      <c r="E131" s="7" t="s">
        <v>0</v>
      </c>
      <c r="F131" s="7" t="s">
        <v>0</v>
      </c>
      <c r="G131" s="7" t="s">
        <v>0</v>
      </c>
      <c r="H131" s="7" t="s">
        <v>0</v>
      </c>
      <c r="I131" s="7" t="s">
        <v>0</v>
      </c>
      <c r="J131" s="7" t="s">
        <v>0</v>
      </c>
      <c r="K131" s="7" t="s">
        <v>0</v>
      </c>
      <c r="L131" s="7" t="s">
        <v>0</v>
      </c>
      <c r="M131" s="7" t="s">
        <v>0</v>
      </c>
      <c r="N131" s="7" t="s">
        <v>0</v>
      </c>
      <c r="O131" s="7" t="s">
        <v>0</v>
      </c>
      <c r="P131" s="7" t="s">
        <v>0</v>
      </c>
      <c r="Q131" s="7" t="s">
        <v>0</v>
      </c>
      <c r="R131" s="7" t="s">
        <v>0</v>
      </c>
      <c r="S131" s="7" t="s">
        <v>0</v>
      </c>
      <c r="T131" s="7" t="s">
        <v>0</v>
      </c>
      <c r="U131" s="7" t="s">
        <v>35</v>
      </c>
      <c r="V131" s="7" t="s">
        <v>0</v>
      </c>
      <c r="W131" s="16" t="str">
        <f>HYPERLINK("http://www.aruplab.com/Testing-Information/resources/HotLines/HotLineDocs/Aug2023QHL/2023.07.07 Aug Quarterly Hotline Inactivations.pdf","H")</f>
        <v>H</v>
      </c>
      <c r="X131" s="7" t="s">
        <v>0</v>
      </c>
      <c r="Y131" s="7" t="s">
        <v>0</v>
      </c>
      <c r="Z131" s="7" t="s">
        <v>0</v>
      </c>
      <c r="AA131" s="8">
        <v>45159</v>
      </c>
    </row>
    <row r="132" spans="1:27" ht="75">
      <c r="A132" s="6" t="s">
        <v>402</v>
      </c>
      <c r="B132" s="6" t="s">
        <v>403</v>
      </c>
      <c r="C132" s="6" t="s">
        <v>404</v>
      </c>
      <c r="D132" s="7" t="s">
        <v>0</v>
      </c>
      <c r="E132" s="7" t="s">
        <v>0</v>
      </c>
      <c r="F132" s="7" t="s">
        <v>0</v>
      </c>
      <c r="G132" s="7" t="s">
        <v>0</v>
      </c>
      <c r="H132" s="7" t="s">
        <v>35</v>
      </c>
      <c r="I132" s="7" t="s">
        <v>0</v>
      </c>
      <c r="J132" s="7" t="s">
        <v>0</v>
      </c>
      <c r="K132" s="7" t="s">
        <v>0</v>
      </c>
      <c r="L132" s="7" t="s">
        <v>0</v>
      </c>
      <c r="M132" s="7" t="s">
        <v>0</v>
      </c>
      <c r="N132" s="7" t="s">
        <v>0</v>
      </c>
      <c r="O132" s="7" t="s">
        <v>0</v>
      </c>
      <c r="P132" s="7" t="s">
        <v>0</v>
      </c>
      <c r="Q132" s="7" t="s">
        <v>0</v>
      </c>
      <c r="R132" s="7" t="s">
        <v>0</v>
      </c>
      <c r="S132" s="7" t="s">
        <v>0</v>
      </c>
      <c r="T132" s="7" t="s">
        <v>0</v>
      </c>
      <c r="U132" s="7" t="s">
        <v>0</v>
      </c>
      <c r="V132" s="7" t="s">
        <v>0</v>
      </c>
      <c r="W132" s="16" t="str">
        <f>HYPERLINK("http://www.aruplab.com/Testing-Information/resources/HotLines/HotLineDocs/Aug2023QHL/3003641.pdf","H")</f>
        <v>H</v>
      </c>
      <c r="X132" s="7" t="s">
        <v>0</v>
      </c>
      <c r="Y132" s="7" t="s">
        <v>0</v>
      </c>
      <c r="Z132" s="7" t="s">
        <v>0</v>
      </c>
      <c r="AA132" s="8">
        <v>45159</v>
      </c>
    </row>
    <row r="133" spans="1:27" ht="90">
      <c r="A133" s="6" t="s">
        <v>405</v>
      </c>
      <c r="B133" s="6" t="s">
        <v>406</v>
      </c>
      <c r="C133" s="6" t="s">
        <v>407</v>
      </c>
      <c r="D133" s="7" t="s">
        <v>0</v>
      </c>
      <c r="E133" s="7" t="s">
        <v>0</v>
      </c>
      <c r="F133" s="7" t="s">
        <v>0</v>
      </c>
      <c r="G133" s="7" t="s">
        <v>0</v>
      </c>
      <c r="H133" s="7" t="s">
        <v>0</v>
      </c>
      <c r="I133" s="7" t="s">
        <v>0</v>
      </c>
      <c r="J133" s="7" t="s">
        <v>0</v>
      </c>
      <c r="K133" s="7" t="s">
        <v>0</v>
      </c>
      <c r="L133" s="7" t="s">
        <v>0</v>
      </c>
      <c r="M133" s="7" t="s">
        <v>0</v>
      </c>
      <c r="N133" s="7" t="s">
        <v>0</v>
      </c>
      <c r="O133" s="7" t="s">
        <v>0</v>
      </c>
      <c r="P133" s="7" t="s">
        <v>0</v>
      </c>
      <c r="Q133" s="7" t="s">
        <v>0</v>
      </c>
      <c r="R133" s="7" t="s">
        <v>0</v>
      </c>
      <c r="S133" s="7" t="s">
        <v>0</v>
      </c>
      <c r="T133" s="7" t="s">
        <v>0</v>
      </c>
      <c r="U133" s="7" t="s">
        <v>35</v>
      </c>
      <c r="V133" s="7" t="s">
        <v>0</v>
      </c>
      <c r="W133" s="16" t="str">
        <f>HYPERLINK("http://www.aruplab.com/Testing-Information/resources/HotLines/HotLineDocs/Aug2023QHL/2023.07.07 Aug Quarterly Hotline Inactivations.pdf","H")</f>
        <v>H</v>
      </c>
      <c r="X133" s="7" t="s">
        <v>0</v>
      </c>
      <c r="Y133" s="7" t="s">
        <v>0</v>
      </c>
      <c r="Z133" s="7" t="s">
        <v>0</v>
      </c>
      <c r="AA133" s="8">
        <v>45159</v>
      </c>
    </row>
    <row r="134" spans="1:27" ht="135">
      <c r="A134" s="6" t="s">
        <v>408</v>
      </c>
      <c r="B134" s="6" t="s">
        <v>409</v>
      </c>
      <c r="C134" s="6" t="s">
        <v>410</v>
      </c>
      <c r="D134" s="7" t="s">
        <v>0</v>
      </c>
      <c r="E134" s="7" t="s">
        <v>0</v>
      </c>
      <c r="F134" s="7" t="s">
        <v>0</v>
      </c>
      <c r="G134" s="7" t="s">
        <v>0</v>
      </c>
      <c r="H134" s="7" t="s">
        <v>0</v>
      </c>
      <c r="I134" s="7" t="s">
        <v>0</v>
      </c>
      <c r="J134" s="7" t="s">
        <v>0</v>
      </c>
      <c r="K134" s="7" t="s">
        <v>0</v>
      </c>
      <c r="L134" s="7" t="s">
        <v>0</v>
      </c>
      <c r="M134" s="7" t="s">
        <v>0</v>
      </c>
      <c r="N134" s="7" t="s">
        <v>0</v>
      </c>
      <c r="O134" s="7" t="s">
        <v>0</v>
      </c>
      <c r="P134" s="7" t="s">
        <v>0</v>
      </c>
      <c r="Q134" s="7" t="s">
        <v>0</v>
      </c>
      <c r="R134" s="7" t="s">
        <v>0</v>
      </c>
      <c r="S134" s="7" t="s">
        <v>0</v>
      </c>
      <c r="T134" s="7" t="s">
        <v>0</v>
      </c>
      <c r="U134" s="7" t="s">
        <v>35</v>
      </c>
      <c r="V134" s="7" t="s">
        <v>0</v>
      </c>
      <c r="W134" s="16" t="str">
        <f>HYPERLINK("http://www.aruplab.com/Testing-Information/resources/HotLines/HotLineDocs/Aug2023QHL/2023.07.07 Aug Quarterly Hotline Inactivations.pdf","H")</f>
        <v>H</v>
      </c>
      <c r="X134" s="7" t="s">
        <v>0</v>
      </c>
      <c r="Y134" s="7" t="s">
        <v>0</v>
      </c>
      <c r="Z134" s="7" t="s">
        <v>0</v>
      </c>
      <c r="AA134" s="8">
        <v>45159</v>
      </c>
    </row>
    <row r="135" spans="1:27" ht="60">
      <c r="A135" s="6" t="s">
        <v>411</v>
      </c>
      <c r="B135" s="6" t="s">
        <v>412</v>
      </c>
      <c r="C135" s="6" t="s">
        <v>413</v>
      </c>
      <c r="D135" s="7" t="s">
        <v>0</v>
      </c>
      <c r="E135" s="7" t="s">
        <v>0</v>
      </c>
      <c r="F135" s="7" t="s">
        <v>35</v>
      </c>
      <c r="G135" s="7" t="s">
        <v>35</v>
      </c>
      <c r="H135" s="7" t="s">
        <v>0</v>
      </c>
      <c r="I135" s="7" t="s">
        <v>0</v>
      </c>
      <c r="J135" s="7" t="s">
        <v>35</v>
      </c>
      <c r="K135" s="7" t="s">
        <v>0</v>
      </c>
      <c r="L135" s="7" t="s">
        <v>0</v>
      </c>
      <c r="M135" s="7" t="s">
        <v>0</v>
      </c>
      <c r="N135" s="7" t="s">
        <v>0</v>
      </c>
      <c r="O135" s="7" t="s">
        <v>0</v>
      </c>
      <c r="P135" s="7" t="s">
        <v>0</v>
      </c>
      <c r="Q135" s="7" t="s">
        <v>0</v>
      </c>
      <c r="R135" s="7" t="s">
        <v>0</v>
      </c>
      <c r="S135" s="7" t="s">
        <v>0</v>
      </c>
      <c r="T135" s="7" t="s">
        <v>0</v>
      </c>
      <c r="U135" s="7" t="s">
        <v>0</v>
      </c>
      <c r="V135" s="7" t="s">
        <v>0</v>
      </c>
      <c r="W135" s="16" t="str">
        <f>HYPERLINK("http://www.aruplab.com/Testing-Information/resources/HotLines/HotLineDocs/Aug2023QHL/3004277.pdf","H")</f>
        <v>H</v>
      </c>
      <c r="X135" s="7" t="s">
        <v>0</v>
      </c>
      <c r="Y135" s="7" t="s">
        <v>0</v>
      </c>
      <c r="Z135" s="7" t="s">
        <v>0</v>
      </c>
      <c r="AA135" s="8">
        <v>45159</v>
      </c>
    </row>
    <row r="136" spans="1:27" ht="30">
      <c r="A136" s="6" t="s">
        <v>414</v>
      </c>
      <c r="B136" s="6" t="s">
        <v>415</v>
      </c>
      <c r="C136" s="6" t="s">
        <v>416</v>
      </c>
      <c r="D136" s="7" t="s">
        <v>0</v>
      </c>
      <c r="E136" s="7" t="s">
        <v>0</v>
      </c>
      <c r="F136" s="7" t="s">
        <v>35</v>
      </c>
      <c r="G136" s="7" t="s">
        <v>35</v>
      </c>
      <c r="H136" s="7" t="s">
        <v>0</v>
      </c>
      <c r="I136" s="7" t="s">
        <v>0</v>
      </c>
      <c r="J136" s="7" t="s">
        <v>35</v>
      </c>
      <c r="K136" s="7" t="s">
        <v>0</v>
      </c>
      <c r="L136" s="7" t="s">
        <v>0</v>
      </c>
      <c r="M136" s="7" t="s">
        <v>0</v>
      </c>
      <c r="N136" s="7" t="s">
        <v>0</v>
      </c>
      <c r="O136" s="7" t="s">
        <v>0</v>
      </c>
      <c r="P136" s="7" t="s">
        <v>0</v>
      </c>
      <c r="Q136" s="7" t="s">
        <v>0</v>
      </c>
      <c r="R136" s="7" t="s">
        <v>0</v>
      </c>
      <c r="S136" s="7" t="s">
        <v>0</v>
      </c>
      <c r="T136" s="7" t="s">
        <v>0</v>
      </c>
      <c r="U136" s="7" t="s">
        <v>0</v>
      </c>
      <c r="V136" s="7" t="s">
        <v>0</v>
      </c>
      <c r="W136" s="16" t="str">
        <f>HYPERLINK("http://www.aruplab.com/Testing-Information/resources/HotLines/HotLineDocs/Aug2023QHL/3004308.pdf","H")</f>
        <v>H</v>
      </c>
      <c r="X136" s="7" t="s">
        <v>0</v>
      </c>
      <c r="Y136" s="7" t="s">
        <v>0</v>
      </c>
      <c r="Z136" s="7" t="s">
        <v>0</v>
      </c>
      <c r="AA136" s="8">
        <v>45159</v>
      </c>
    </row>
    <row r="137" spans="1:27" ht="90">
      <c r="A137" s="6" t="s">
        <v>417</v>
      </c>
      <c r="B137" s="6" t="s">
        <v>418</v>
      </c>
      <c r="C137" s="6" t="s">
        <v>419</v>
      </c>
      <c r="D137" s="7" t="s">
        <v>0</v>
      </c>
      <c r="E137" s="7" t="s">
        <v>0</v>
      </c>
      <c r="F137" s="7" t="s">
        <v>0</v>
      </c>
      <c r="G137" s="7" t="s">
        <v>0</v>
      </c>
      <c r="H137" s="7" t="s">
        <v>0</v>
      </c>
      <c r="I137" s="7" t="s">
        <v>0</v>
      </c>
      <c r="J137" s="7" t="s">
        <v>35</v>
      </c>
      <c r="K137" s="7" t="s">
        <v>0</v>
      </c>
      <c r="L137" s="7" t="s">
        <v>35</v>
      </c>
      <c r="M137" s="7" t="s">
        <v>0</v>
      </c>
      <c r="N137" s="7" t="s">
        <v>0</v>
      </c>
      <c r="O137" s="7" t="s">
        <v>0</v>
      </c>
      <c r="P137" s="7" t="s">
        <v>0</v>
      </c>
      <c r="Q137" s="7" t="s">
        <v>0</v>
      </c>
      <c r="R137" s="7" t="s">
        <v>0</v>
      </c>
      <c r="S137" s="7" t="s">
        <v>0</v>
      </c>
      <c r="T137" s="7" t="s">
        <v>0</v>
      </c>
      <c r="U137" s="7" t="s">
        <v>0</v>
      </c>
      <c r="V137" s="7" t="s">
        <v>0</v>
      </c>
      <c r="W137" s="16" t="str">
        <f>HYPERLINK("http://www.aruplab.com/Testing-Information/resources/HotLines/HotLineDocs/Aug2023QHL/3004359.pdf","H")</f>
        <v>H</v>
      </c>
      <c r="X137" s="16" t="str">
        <f>HYPERLINK("http://www.aruplab.com/Testing-Information/resources/HotLines/TDMix/Aug2023QHL/3004359.xlsx","T")</f>
        <v>T</v>
      </c>
      <c r="Y137" s="16" t="str">
        <f>HYPERLINK("http://www.aruplab.com/Testing-Information/resources/HotLines/Sample_Reports/Aug2023QHL/3004359_Dipeptidyl Aminopeptidase-Like Protein 6 DPPX Antibody, IgG by CBA-IFA With Reflex to Titer, Serum_DPPX SER.pdf","E")</f>
        <v>E</v>
      </c>
      <c r="Z137" s="7" t="s">
        <v>0</v>
      </c>
      <c r="AA137" s="8">
        <v>45159</v>
      </c>
    </row>
    <row r="138" spans="1:27" ht="90">
      <c r="A138" s="6" t="s">
        <v>420</v>
      </c>
      <c r="B138" s="6" t="s">
        <v>421</v>
      </c>
      <c r="C138" s="6" t="s">
        <v>422</v>
      </c>
      <c r="D138" s="7" t="s">
        <v>0</v>
      </c>
      <c r="E138" s="7" t="s">
        <v>0</v>
      </c>
      <c r="F138" s="7" t="s">
        <v>0</v>
      </c>
      <c r="G138" s="7" t="s">
        <v>0</v>
      </c>
      <c r="H138" s="7" t="s">
        <v>0</v>
      </c>
      <c r="I138" s="7" t="s">
        <v>0</v>
      </c>
      <c r="J138" s="7" t="s">
        <v>35</v>
      </c>
      <c r="K138" s="7" t="s">
        <v>0</v>
      </c>
      <c r="L138" s="7" t="s">
        <v>35</v>
      </c>
      <c r="M138" s="7" t="s">
        <v>0</v>
      </c>
      <c r="N138" s="7" t="s">
        <v>0</v>
      </c>
      <c r="O138" s="7" t="s">
        <v>0</v>
      </c>
      <c r="P138" s="7" t="s">
        <v>0</v>
      </c>
      <c r="Q138" s="7" t="s">
        <v>0</v>
      </c>
      <c r="R138" s="7" t="s">
        <v>0</v>
      </c>
      <c r="S138" s="7" t="s">
        <v>0</v>
      </c>
      <c r="T138" s="7" t="s">
        <v>0</v>
      </c>
      <c r="U138" s="7" t="s">
        <v>0</v>
      </c>
      <c r="V138" s="7" t="s">
        <v>0</v>
      </c>
      <c r="W138" s="16" t="str">
        <f>HYPERLINK("http://www.aruplab.com/Testing-Information/resources/HotLines/HotLineDocs/Aug2023QHL/3004512.pdf","H")</f>
        <v>H</v>
      </c>
      <c r="X138" s="16" t="str">
        <f>HYPERLINK("http://www.aruplab.com/Testing-Information/resources/HotLines/TDMix/Aug2023QHL/3004512.xlsx","T")</f>
        <v>T</v>
      </c>
      <c r="Y138" s="16" t="str">
        <f>HYPERLINK("http://www.aruplab.com/Testing-Information/resources/HotLines/Sample_Reports/Aug2023QHL/3004512_Dipeptidyl Aminopeptidase-Like Protein 6 DPPX Antibody, IgG by CBA-IFA With Reflex to Titer, CSF_DPPX CSF.pdf","E")</f>
        <v>E</v>
      </c>
      <c r="Z138" s="7" t="s">
        <v>0</v>
      </c>
      <c r="AA138" s="8">
        <v>45159</v>
      </c>
    </row>
    <row r="139" spans="1:27" ht="30">
      <c r="A139" s="6" t="s">
        <v>423</v>
      </c>
      <c r="B139" s="6" t="s">
        <v>424</v>
      </c>
      <c r="C139" s="6" t="s">
        <v>425</v>
      </c>
      <c r="D139" s="7" t="s">
        <v>0</v>
      </c>
      <c r="E139" s="7" t="s">
        <v>0</v>
      </c>
      <c r="F139" s="7" t="s">
        <v>0</v>
      </c>
      <c r="G139" s="7" t="s">
        <v>0</v>
      </c>
      <c r="H139" s="7" t="s">
        <v>0</v>
      </c>
      <c r="I139" s="7" t="s">
        <v>0</v>
      </c>
      <c r="J139" s="7" t="s">
        <v>0</v>
      </c>
      <c r="K139" s="7" t="s">
        <v>0</v>
      </c>
      <c r="L139" s="7" t="s">
        <v>35</v>
      </c>
      <c r="M139" s="7" t="s">
        <v>0</v>
      </c>
      <c r="N139" s="7" t="s">
        <v>0</v>
      </c>
      <c r="O139" s="7" t="s">
        <v>0</v>
      </c>
      <c r="P139" s="7" t="s">
        <v>0</v>
      </c>
      <c r="Q139" s="7" t="s">
        <v>0</v>
      </c>
      <c r="R139" s="7" t="s">
        <v>0</v>
      </c>
      <c r="S139" s="7" t="s">
        <v>0</v>
      </c>
      <c r="T139" s="7" t="s">
        <v>0</v>
      </c>
      <c r="U139" s="7" t="s">
        <v>0</v>
      </c>
      <c r="V139" s="7" t="s">
        <v>0</v>
      </c>
      <c r="W139" s="16" t="str">
        <f>HYPERLINK("http://www.aruplab.com/Testing-Information/resources/HotLines/HotLineDocs/Aug2023QHL/3004517.pdf","H")</f>
        <v>H</v>
      </c>
      <c r="X139" s="16" t="str">
        <f>HYPERLINK("http://www.aruplab.com/Testing-Information/resources/HotLines/TDMix/Aug2023QHL/3004517.xlsx","T")</f>
        <v>T</v>
      </c>
      <c r="Y139" s="16" t="str">
        <f>HYPERLINK("http://www.aruplab.com/Testing-Information/resources/HotLines/Sample_Reports/Aug2023QHL/3004517_Paraneoplastic Reflexive Panel, CSF_PNSPAN CSF.pdf","E")</f>
        <v>E</v>
      </c>
      <c r="Z139" s="7" t="s">
        <v>0</v>
      </c>
      <c r="AA139" s="8">
        <v>45159</v>
      </c>
    </row>
    <row r="140" spans="1:27" ht="30">
      <c r="A140" s="6" t="s">
        <v>426</v>
      </c>
      <c r="B140" s="6" t="s">
        <v>427</v>
      </c>
      <c r="C140" s="6" t="s">
        <v>428</v>
      </c>
      <c r="D140" s="7" t="s">
        <v>0</v>
      </c>
      <c r="E140" s="7" t="s">
        <v>0</v>
      </c>
      <c r="F140" s="7" t="s">
        <v>35</v>
      </c>
      <c r="G140" s="7" t="s">
        <v>35</v>
      </c>
      <c r="H140" s="7" t="s">
        <v>0</v>
      </c>
      <c r="I140" s="7" t="s">
        <v>0</v>
      </c>
      <c r="J140" s="7" t="s">
        <v>0</v>
      </c>
      <c r="K140" s="7" t="s">
        <v>35</v>
      </c>
      <c r="L140" s="7" t="s">
        <v>0</v>
      </c>
      <c r="M140" s="7" t="s">
        <v>35</v>
      </c>
      <c r="N140" s="7" t="s">
        <v>0</v>
      </c>
      <c r="O140" s="7" t="s">
        <v>0</v>
      </c>
      <c r="P140" s="7" t="s">
        <v>0</v>
      </c>
      <c r="Q140" s="7" t="s">
        <v>0</v>
      </c>
      <c r="R140" s="7" t="s">
        <v>0</v>
      </c>
      <c r="S140" s="7" t="s">
        <v>35</v>
      </c>
      <c r="T140" s="7" t="s">
        <v>0</v>
      </c>
      <c r="U140" s="7" t="s">
        <v>0</v>
      </c>
      <c r="V140" s="7" t="s">
        <v>0</v>
      </c>
      <c r="W140" s="16" t="str">
        <f>HYPERLINK("http://www.aruplab.com/Testing-Information/resources/HotLines/HotLineDocs/Aug2023QHL/3004583.pdf","H")</f>
        <v>H</v>
      </c>
      <c r="X140" s="16" t="str">
        <f>HYPERLINK("http://www.aruplab.com/Testing-Information/resources/HotLines/TDMix/Aug2023QHL/3004583.xlsx","T")</f>
        <v>T</v>
      </c>
      <c r="Y140" s="7" t="s">
        <v>0</v>
      </c>
      <c r="Z140" s="7" t="s">
        <v>0</v>
      </c>
      <c r="AA140" s="8">
        <v>45159</v>
      </c>
    </row>
    <row r="141" spans="1:27" ht="30">
      <c r="A141" s="6" t="s">
        <v>429</v>
      </c>
      <c r="B141" s="6" t="s">
        <v>430</v>
      </c>
      <c r="C141" s="6" t="s">
        <v>431</v>
      </c>
      <c r="D141" s="7" t="s">
        <v>0</v>
      </c>
      <c r="E141" s="7" t="s">
        <v>35</v>
      </c>
      <c r="F141" s="7" t="s">
        <v>0</v>
      </c>
      <c r="G141" s="7" t="s">
        <v>0</v>
      </c>
      <c r="H141" s="7" t="s">
        <v>0</v>
      </c>
      <c r="I141" s="7" t="s">
        <v>0</v>
      </c>
      <c r="J141" s="7" t="s">
        <v>0</v>
      </c>
      <c r="K141" s="7" t="s">
        <v>0</v>
      </c>
      <c r="L141" s="7" t="s">
        <v>0</v>
      </c>
      <c r="M141" s="7" t="s">
        <v>0</v>
      </c>
      <c r="N141" s="7" t="s">
        <v>0</v>
      </c>
      <c r="O141" s="7" t="s">
        <v>0</v>
      </c>
      <c r="P141" s="7" t="s">
        <v>0</v>
      </c>
      <c r="Q141" s="7" t="s">
        <v>0</v>
      </c>
      <c r="R141" s="7" t="s">
        <v>0</v>
      </c>
      <c r="S141" s="7" t="s">
        <v>0</v>
      </c>
      <c r="T141" s="7" t="s">
        <v>0</v>
      </c>
      <c r="U141" s="7" t="s">
        <v>0</v>
      </c>
      <c r="V141" s="7" t="s">
        <v>0</v>
      </c>
      <c r="W141" s="16" t="str">
        <f>HYPERLINK("http://www.aruplab.com/Testing-Information/resources/HotLines/HotLineDocs/Aug2023QHL/3005939.pdf","H")</f>
        <v>H</v>
      </c>
      <c r="X141" s="16" t="str">
        <f>HYPERLINK("http://www.aruplab.com/Testing-Information/resources/HotLines/TDMix/Aug2023QHL/3005939.xlsx","T")</f>
        <v>T</v>
      </c>
      <c r="Y141" s="7" t="s">
        <v>0</v>
      </c>
      <c r="Z141" s="7" t="s">
        <v>0</v>
      </c>
      <c r="AA141" s="8">
        <v>45089</v>
      </c>
    </row>
    <row r="142" spans="1:27" ht="45">
      <c r="A142" s="6" t="s">
        <v>432</v>
      </c>
      <c r="B142" s="6" t="s">
        <v>433</v>
      </c>
      <c r="C142" s="6" t="s">
        <v>434</v>
      </c>
      <c r="D142" s="7" t="s">
        <v>0</v>
      </c>
      <c r="E142" s="7" t="s">
        <v>0</v>
      </c>
      <c r="F142" s="7" t="s">
        <v>35</v>
      </c>
      <c r="G142" s="7" t="s">
        <v>0</v>
      </c>
      <c r="H142" s="7" t="s">
        <v>0</v>
      </c>
      <c r="I142" s="7" t="s">
        <v>0</v>
      </c>
      <c r="J142" s="7" t="s">
        <v>35</v>
      </c>
      <c r="K142" s="7" t="s">
        <v>0</v>
      </c>
      <c r="L142" s="7" t="s">
        <v>0</v>
      </c>
      <c r="M142" s="7" t="s">
        <v>0</v>
      </c>
      <c r="N142" s="7" t="s">
        <v>0</v>
      </c>
      <c r="O142" s="7" t="s">
        <v>0</v>
      </c>
      <c r="P142" s="7" t="s">
        <v>0</v>
      </c>
      <c r="Q142" s="7" t="s">
        <v>0</v>
      </c>
      <c r="R142" s="7" t="s">
        <v>0</v>
      </c>
      <c r="S142" s="7" t="s">
        <v>0</v>
      </c>
      <c r="T142" s="7" t="s">
        <v>0</v>
      </c>
      <c r="U142" s="7" t="s">
        <v>0</v>
      </c>
      <c r="V142" s="7" t="s">
        <v>0</v>
      </c>
      <c r="W142" s="16" t="str">
        <f>HYPERLINK("http://www.aruplab.com/Testing-Information/resources/HotLines/HotLineDocs/Aug2023QHL/3005956.pdf","H")</f>
        <v>H</v>
      </c>
      <c r="X142" s="7" t="s">
        <v>0</v>
      </c>
      <c r="Y142" s="7" t="s">
        <v>0</v>
      </c>
      <c r="Z142" s="7" t="s">
        <v>0</v>
      </c>
      <c r="AA142" s="8">
        <v>45159</v>
      </c>
    </row>
    <row r="143" spans="1:27" ht="30">
      <c r="A143" s="6" t="s">
        <v>435</v>
      </c>
      <c r="B143" s="6" t="s">
        <v>436</v>
      </c>
      <c r="C143" s="6" t="s">
        <v>437</v>
      </c>
      <c r="D143" s="7" t="s">
        <v>0</v>
      </c>
      <c r="E143" s="7" t="s">
        <v>0</v>
      </c>
      <c r="F143" s="7" t="s">
        <v>0</v>
      </c>
      <c r="G143" s="7" t="s">
        <v>35</v>
      </c>
      <c r="H143" s="7" t="s">
        <v>0</v>
      </c>
      <c r="I143" s="7" t="s">
        <v>0</v>
      </c>
      <c r="J143" s="7" t="s">
        <v>35</v>
      </c>
      <c r="K143" s="7" t="s">
        <v>35</v>
      </c>
      <c r="L143" s="7" t="s">
        <v>35</v>
      </c>
      <c r="M143" s="7" t="s">
        <v>0</v>
      </c>
      <c r="N143" s="7" t="s">
        <v>0</v>
      </c>
      <c r="O143" s="7" t="s">
        <v>0</v>
      </c>
      <c r="P143" s="7" t="s">
        <v>0</v>
      </c>
      <c r="Q143" s="7" t="s">
        <v>0</v>
      </c>
      <c r="R143" s="7" t="s">
        <v>0</v>
      </c>
      <c r="S143" s="7" t="s">
        <v>0</v>
      </c>
      <c r="T143" s="7" t="s">
        <v>0</v>
      </c>
      <c r="U143" s="7" t="s">
        <v>0</v>
      </c>
      <c r="V143" s="7" t="s">
        <v>0</v>
      </c>
      <c r="W143" s="16" t="str">
        <f>HYPERLINK("http://www.aruplab.com/Testing-Information/resources/HotLines/HotLineDocs/Aug2023QHL/3005961.pdf","H")</f>
        <v>H</v>
      </c>
      <c r="X143" s="16" t="str">
        <f>HYPERLINK("http://www.aruplab.com/Testing-Information/resources/HotLines/TDMix/Aug2023QHL/3005961.xlsx","T")</f>
        <v>T</v>
      </c>
      <c r="Y143" s="16" t="str">
        <f>HYPERLINK("http://www.aruplab.com/Testing-Information/resources/HotLines/Sample_Reports/Aug2023QHL/3005961_C5 Inhibitors Drug Monitoring Panel_C5 INH PAN.pdf","E")</f>
        <v>E</v>
      </c>
      <c r="Z143" s="7" t="s">
        <v>0</v>
      </c>
      <c r="AA143" s="8">
        <v>45159</v>
      </c>
    </row>
    <row r="144" spans="1:27" ht="60">
      <c r="A144" s="6" t="s">
        <v>438</v>
      </c>
      <c r="B144" s="6" t="s">
        <v>439</v>
      </c>
      <c r="C144" s="6" t="s">
        <v>440</v>
      </c>
      <c r="D144" s="7" t="s">
        <v>0</v>
      </c>
      <c r="E144" s="7" t="s">
        <v>0</v>
      </c>
      <c r="F144" s="7" t="s">
        <v>0</v>
      </c>
      <c r="G144" s="7" t="s">
        <v>0</v>
      </c>
      <c r="H144" s="7" t="s">
        <v>35</v>
      </c>
      <c r="I144" s="7" t="s">
        <v>0</v>
      </c>
      <c r="J144" s="7" t="s">
        <v>0</v>
      </c>
      <c r="K144" s="7" t="s">
        <v>0</v>
      </c>
      <c r="L144" s="7" t="s">
        <v>0</v>
      </c>
      <c r="M144" s="7" t="s">
        <v>0</v>
      </c>
      <c r="N144" s="7" t="s">
        <v>0</v>
      </c>
      <c r="O144" s="7" t="s">
        <v>0</v>
      </c>
      <c r="P144" s="7" t="s">
        <v>0</v>
      </c>
      <c r="Q144" s="7" t="s">
        <v>0</v>
      </c>
      <c r="R144" s="7" t="s">
        <v>0</v>
      </c>
      <c r="S144" s="7" t="s">
        <v>0</v>
      </c>
      <c r="T144" s="7" t="s">
        <v>0</v>
      </c>
      <c r="U144" s="7" t="s">
        <v>0</v>
      </c>
      <c r="V144" s="7" t="s">
        <v>0</v>
      </c>
      <c r="W144" s="16" t="str">
        <f>HYPERLINK("http://www.aruplab.com/Testing-Information/resources/HotLines/HotLineDocs/Aug2023QHL/3005996.pdf","H")</f>
        <v>H</v>
      </c>
      <c r="X144" s="7" t="s">
        <v>0</v>
      </c>
      <c r="Y144" s="7" t="s">
        <v>0</v>
      </c>
      <c r="Z144" s="7" t="s">
        <v>0</v>
      </c>
      <c r="AA144" s="8">
        <v>45159</v>
      </c>
    </row>
    <row r="145" spans="1:27" ht="45">
      <c r="A145" s="6" t="s">
        <v>441</v>
      </c>
      <c r="B145" s="6" t="s">
        <v>442</v>
      </c>
      <c r="C145" s="6" t="s">
        <v>443</v>
      </c>
      <c r="D145" s="7" t="s">
        <v>0</v>
      </c>
      <c r="E145" s="7" t="s">
        <v>0</v>
      </c>
      <c r="F145" s="7" t="s">
        <v>0</v>
      </c>
      <c r="G145" s="7" t="s">
        <v>0</v>
      </c>
      <c r="H145" s="7" t="s">
        <v>0</v>
      </c>
      <c r="I145" s="7" t="s">
        <v>0</v>
      </c>
      <c r="J145" s="7" t="s">
        <v>0</v>
      </c>
      <c r="K145" s="7" t="s">
        <v>0</v>
      </c>
      <c r="L145" s="7" t="s">
        <v>35</v>
      </c>
      <c r="M145" s="7" t="s">
        <v>0</v>
      </c>
      <c r="N145" s="7" t="s">
        <v>0</v>
      </c>
      <c r="O145" s="7" t="s">
        <v>0</v>
      </c>
      <c r="P145" s="7" t="s">
        <v>0</v>
      </c>
      <c r="Q145" s="7" t="s">
        <v>0</v>
      </c>
      <c r="R145" s="7" t="s">
        <v>0</v>
      </c>
      <c r="S145" s="7" t="s">
        <v>0</v>
      </c>
      <c r="T145" s="7" t="s">
        <v>0</v>
      </c>
      <c r="U145" s="7" t="s">
        <v>0</v>
      </c>
      <c r="V145" s="7" t="s">
        <v>0</v>
      </c>
      <c r="W145" s="16" t="str">
        <f>HYPERLINK("http://www.aruplab.com/Testing-Information/resources/HotLines/HotLineDocs/Aug2023QHL/3006049.pdf","H")</f>
        <v>H</v>
      </c>
      <c r="X145" s="16" t="str">
        <f>HYPERLINK("http://www.aruplab.com/Testing-Information/resources/HotLines/TDMix/Aug2023QHL/3006049.xlsx","T")</f>
        <v>T</v>
      </c>
      <c r="Y145" s="16" t="str">
        <f>HYPERLINK("http://www.aruplab.com/Testing-Information/resources/HotLines/Sample_Reports/Aug2023QHL/3006049_Autoimmune Encephalitis Reflex Panel, CSF_AE CSF.pdf","E")</f>
        <v>E</v>
      </c>
      <c r="Z145" s="7" t="s">
        <v>0</v>
      </c>
      <c r="AA145" s="8">
        <v>45159</v>
      </c>
    </row>
    <row r="146" spans="1:27" ht="45">
      <c r="A146" s="6" t="s">
        <v>444</v>
      </c>
      <c r="B146" s="6" t="s">
        <v>445</v>
      </c>
      <c r="C146" s="6" t="s">
        <v>446</v>
      </c>
      <c r="D146" s="7" t="s">
        <v>0</v>
      </c>
      <c r="E146" s="7" t="s">
        <v>0</v>
      </c>
      <c r="F146" s="7" t="s">
        <v>0</v>
      </c>
      <c r="G146" s="7" t="s">
        <v>0</v>
      </c>
      <c r="H146" s="7" t="s">
        <v>0</v>
      </c>
      <c r="I146" s="7" t="s">
        <v>0</v>
      </c>
      <c r="J146" s="7" t="s">
        <v>0</v>
      </c>
      <c r="K146" s="7" t="s">
        <v>0</v>
      </c>
      <c r="L146" s="7" t="s">
        <v>35</v>
      </c>
      <c r="M146" s="7" t="s">
        <v>0</v>
      </c>
      <c r="N146" s="7" t="s">
        <v>0</v>
      </c>
      <c r="O146" s="7" t="s">
        <v>0</v>
      </c>
      <c r="P146" s="7" t="s">
        <v>0</v>
      </c>
      <c r="Q146" s="7" t="s">
        <v>0</v>
      </c>
      <c r="R146" s="7" t="s">
        <v>0</v>
      </c>
      <c r="S146" s="7" t="s">
        <v>0</v>
      </c>
      <c r="T146" s="7" t="s">
        <v>0</v>
      </c>
      <c r="U146" s="7" t="s">
        <v>0</v>
      </c>
      <c r="V146" s="7" t="s">
        <v>0</v>
      </c>
      <c r="W146" s="16" t="str">
        <f>HYPERLINK("http://www.aruplab.com/Testing-Information/resources/HotLines/HotLineDocs/Aug2023QHL/3006050.pdf","H")</f>
        <v>H</v>
      </c>
      <c r="X146" s="16" t="str">
        <f>HYPERLINK("http://www.aruplab.com/Testing-Information/resources/HotLines/TDMix/Aug2023QHL/3006050.xlsx","T")</f>
        <v>T</v>
      </c>
      <c r="Y146" s="16" t="str">
        <f>HYPERLINK("http://www.aruplab.com/Testing-Information/resources/HotLines/Sample_Reports/Aug2023QHL/3006050_Autoimmune Encephalitis Extended Panel, Serum_ENCEPHEXT2.pdf","E")</f>
        <v>E</v>
      </c>
      <c r="Z146" s="7" t="s">
        <v>0</v>
      </c>
      <c r="AA146" s="8">
        <v>45159</v>
      </c>
    </row>
    <row r="147" spans="1:27" ht="60">
      <c r="A147" s="6" t="s">
        <v>447</v>
      </c>
      <c r="B147" s="6" t="s">
        <v>448</v>
      </c>
      <c r="C147" s="6" t="s">
        <v>449</v>
      </c>
      <c r="D147" s="7" t="s">
        <v>0</v>
      </c>
      <c r="E147" s="7" t="s">
        <v>0</v>
      </c>
      <c r="F147" s="7" t="s">
        <v>0</v>
      </c>
      <c r="G147" s="7" t="s">
        <v>35</v>
      </c>
      <c r="H147" s="7" t="s">
        <v>0</v>
      </c>
      <c r="I147" s="7" t="s">
        <v>0</v>
      </c>
      <c r="J147" s="7" t="s">
        <v>0</v>
      </c>
      <c r="K147" s="7" t="s">
        <v>0</v>
      </c>
      <c r="L147" s="7" t="s">
        <v>35</v>
      </c>
      <c r="M147" s="7" t="s">
        <v>0</v>
      </c>
      <c r="N147" s="7" t="s">
        <v>0</v>
      </c>
      <c r="O147" s="7" t="s">
        <v>0</v>
      </c>
      <c r="P147" s="7" t="s">
        <v>0</v>
      </c>
      <c r="Q147" s="7" t="s">
        <v>0</v>
      </c>
      <c r="R147" s="7" t="s">
        <v>0</v>
      </c>
      <c r="S147" s="7" t="s">
        <v>0</v>
      </c>
      <c r="T147" s="7" t="s">
        <v>0</v>
      </c>
      <c r="U147" s="7" t="s">
        <v>0</v>
      </c>
      <c r="V147" s="7" t="s">
        <v>0</v>
      </c>
      <c r="W147" s="16" t="str">
        <f>HYPERLINK("http://www.aruplab.com/Testing-Information/resources/HotLines/HotLineDocs/Aug2023QHL/3006051.pdf","H")</f>
        <v>H</v>
      </c>
      <c r="X147" s="16" t="str">
        <f>HYPERLINK("http://www.aruplab.com/Testing-Information/resources/HotLines/TDMix/Aug2023QHL/3006051.xlsx","T")</f>
        <v>T</v>
      </c>
      <c r="Y147" s="16" t="str">
        <f>HYPERLINK("http://www.aruplab.com/Testing-Information/resources/HotLines/Sample_Reports/Aug2023QHL/3006051_Autoimmune Neurologic Disease Panel with Reflex, Serum_NEURO R4.pdf","E")</f>
        <v>E</v>
      </c>
      <c r="Z147" s="7" t="s">
        <v>0</v>
      </c>
      <c r="AA147" s="8">
        <v>45159</v>
      </c>
    </row>
    <row r="148" spans="1:27" ht="45">
      <c r="A148" s="6" t="s">
        <v>450</v>
      </c>
      <c r="B148" s="6" t="s">
        <v>451</v>
      </c>
      <c r="C148" s="6" t="s">
        <v>452</v>
      </c>
      <c r="D148" s="7" t="s">
        <v>0</v>
      </c>
      <c r="E148" s="7" t="s">
        <v>0</v>
      </c>
      <c r="F148" s="7" t="s">
        <v>0</v>
      </c>
      <c r="G148" s="7" t="s">
        <v>35</v>
      </c>
      <c r="H148" s="7" t="s">
        <v>0</v>
      </c>
      <c r="I148" s="7" t="s">
        <v>0</v>
      </c>
      <c r="J148" s="7" t="s">
        <v>0</v>
      </c>
      <c r="K148" s="7" t="s">
        <v>0</v>
      </c>
      <c r="L148" s="7" t="s">
        <v>35</v>
      </c>
      <c r="M148" s="7" t="s">
        <v>0</v>
      </c>
      <c r="N148" s="7" t="s">
        <v>0</v>
      </c>
      <c r="O148" s="7" t="s">
        <v>0</v>
      </c>
      <c r="P148" s="7" t="s">
        <v>0</v>
      </c>
      <c r="Q148" s="7" t="s">
        <v>0</v>
      </c>
      <c r="R148" s="7" t="s">
        <v>0</v>
      </c>
      <c r="S148" s="7" t="s">
        <v>0</v>
      </c>
      <c r="T148" s="7" t="s">
        <v>0</v>
      </c>
      <c r="U148" s="7" t="s">
        <v>0</v>
      </c>
      <c r="V148" s="7" t="s">
        <v>0</v>
      </c>
      <c r="W148" s="16" t="str">
        <f>HYPERLINK("http://www.aruplab.com/Testing-Information/resources/HotLines/HotLineDocs/Aug2023QHL/3006052.pdf","H")</f>
        <v>H</v>
      </c>
      <c r="X148" s="16" t="str">
        <f>HYPERLINK("http://www.aruplab.com/Testing-Information/resources/HotLines/TDMix/Aug2023QHL/3006052.xlsx","T")</f>
        <v>T</v>
      </c>
      <c r="Y148" s="16" t="str">
        <f>HYPERLINK("http://www.aruplab.com/Testing-Information/resources/HotLines/Sample_Reports/Aug2023QHL/3006052_Autoimmune Neurologic Disease Panel With Reflex, CSF_NEURORCSF2.pdf","E")</f>
        <v>E</v>
      </c>
      <c r="Z148" s="7" t="s">
        <v>0</v>
      </c>
      <c r="AA148" s="8">
        <v>45159</v>
      </c>
    </row>
    <row r="149" spans="1:27" ht="45">
      <c r="A149" s="6" t="s">
        <v>453</v>
      </c>
      <c r="B149" s="6" t="s">
        <v>454</v>
      </c>
      <c r="C149" s="6" t="s">
        <v>455</v>
      </c>
      <c r="D149" s="7" t="s">
        <v>35</v>
      </c>
      <c r="E149" s="7" t="s">
        <v>0</v>
      </c>
      <c r="F149" s="7" t="s">
        <v>0</v>
      </c>
      <c r="G149" s="7" t="s">
        <v>0</v>
      </c>
      <c r="H149" s="7" t="s">
        <v>0</v>
      </c>
      <c r="I149" s="7" t="s">
        <v>0</v>
      </c>
      <c r="J149" s="7" t="s">
        <v>0</v>
      </c>
      <c r="K149" s="7" t="s">
        <v>0</v>
      </c>
      <c r="L149" s="7" t="s">
        <v>0</v>
      </c>
      <c r="M149" s="7" t="s">
        <v>0</v>
      </c>
      <c r="N149" s="7" t="s">
        <v>0</v>
      </c>
      <c r="O149" s="7" t="s">
        <v>0</v>
      </c>
      <c r="P149" s="7" t="s">
        <v>0</v>
      </c>
      <c r="Q149" s="7" t="s">
        <v>0</v>
      </c>
      <c r="R149" s="7" t="s">
        <v>0</v>
      </c>
      <c r="S149" s="7" t="s">
        <v>0</v>
      </c>
      <c r="T149" s="7" t="s">
        <v>0</v>
      </c>
      <c r="U149" s="7" t="s">
        <v>0</v>
      </c>
      <c r="V149" s="7" t="s">
        <v>0</v>
      </c>
      <c r="W149" s="16" t="str">
        <f>HYPERLINK("http://www.aruplab.com/Testing-Information/resources/HotLines/HotLineDocs/Aug2023QHL/3006149.pdf","H")</f>
        <v>H</v>
      </c>
      <c r="X149" s="16" t="str">
        <f>HYPERLINK("http://www.aruplab.com/Testing-Information/resources/HotLines/TDMix/Aug2023QHL/3006149.xlsx","T")</f>
        <v>T</v>
      </c>
      <c r="Y149" s="7" t="s">
        <v>0</v>
      </c>
      <c r="Z149" s="16" t="str">
        <f>HYPERLINK("https://connect.aruplab.com/Pricing/TestPrice/3006149/D08212023","P")</f>
        <v>P</v>
      </c>
      <c r="AA149" s="8">
        <v>45040</v>
      </c>
    </row>
    <row r="150" spans="1:27" ht="45">
      <c r="A150" s="6" t="s">
        <v>456</v>
      </c>
      <c r="B150" s="6" t="s">
        <v>457</v>
      </c>
      <c r="C150" s="6" t="s">
        <v>458</v>
      </c>
      <c r="D150" s="7" t="s">
        <v>35</v>
      </c>
      <c r="E150" s="7" t="s">
        <v>0</v>
      </c>
      <c r="F150" s="7" t="s">
        <v>0</v>
      </c>
      <c r="G150" s="7" t="s">
        <v>0</v>
      </c>
      <c r="H150" s="7" t="s">
        <v>0</v>
      </c>
      <c r="I150" s="7" t="s">
        <v>0</v>
      </c>
      <c r="J150" s="7" t="s">
        <v>0</v>
      </c>
      <c r="K150" s="7" t="s">
        <v>0</v>
      </c>
      <c r="L150" s="7" t="s">
        <v>0</v>
      </c>
      <c r="M150" s="7" t="s">
        <v>0</v>
      </c>
      <c r="N150" s="7" t="s">
        <v>0</v>
      </c>
      <c r="O150" s="7" t="s">
        <v>0</v>
      </c>
      <c r="P150" s="7" t="s">
        <v>0</v>
      </c>
      <c r="Q150" s="7" t="s">
        <v>0</v>
      </c>
      <c r="R150" s="7" t="s">
        <v>0</v>
      </c>
      <c r="S150" s="7" t="s">
        <v>0</v>
      </c>
      <c r="T150" s="7" t="s">
        <v>0</v>
      </c>
      <c r="U150" s="7" t="s">
        <v>0</v>
      </c>
      <c r="V150" s="7" t="s">
        <v>0</v>
      </c>
      <c r="W150" s="16" t="str">
        <f>HYPERLINK("http://www.aruplab.com/Testing-Information/resources/HotLines/HotLineDocs/Aug2023QHL/3006162.pdf","H")</f>
        <v>H</v>
      </c>
      <c r="X150" s="16" t="str">
        <f>HYPERLINK("http://www.aruplab.com/Testing-Information/resources/HotLines/TDMix/Aug2023QHL/3006162.xlsx","T")</f>
        <v>T</v>
      </c>
      <c r="Y150" s="7" t="s">
        <v>0</v>
      </c>
      <c r="Z150" s="16" t="str">
        <f>HYPERLINK("https://connect.aruplab.com/Pricing/TestPrice/3006162/D08212023","P")</f>
        <v>P</v>
      </c>
      <c r="AA150" s="8">
        <v>45040</v>
      </c>
    </row>
    <row r="151" spans="1:27" ht="60">
      <c r="A151" s="6" t="s">
        <v>459</v>
      </c>
      <c r="B151" s="6" t="s">
        <v>460</v>
      </c>
      <c r="C151" s="6" t="s">
        <v>461</v>
      </c>
      <c r="D151" s="7" t="s">
        <v>35</v>
      </c>
      <c r="E151" s="7" t="s">
        <v>0</v>
      </c>
      <c r="F151" s="7" t="s">
        <v>0</v>
      </c>
      <c r="G151" s="7" t="s">
        <v>0</v>
      </c>
      <c r="H151" s="7" t="s">
        <v>0</v>
      </c>
      <c r="I151" s="7" t="s">
        <v>0</v>
      </c>
      <c r="J151" s="7" t="s">
        <v>0</v>
      </c>
      <c r="K151" s="7" t="s">
        <v>0</v>
      </c>
      <c r="L151" s="7" t="s">
        <v>0</v>
      </c>
      <c r="M151" s="7" t="s">
        <v>0</v>
      </c>
      <c r="N151" s="7" t="s">
        <v>0</v>
      </c>
      <c r="O151" s="7" t="s">
        <v>0</v>
      </c>
      <c r="P151" s="7" t="s">
        <v>0</v>
      </c>
      <c r="Q151" s="7" t="s">
        <v>0</v>
      </c>
      <c r="R151" s="7" t="s">
        <v>0</v>
      </c>
      <c r="S151" s="7" t="s">
        <v>0</v>
      </c>
      <c r="T151" s="7" t="s">
        <v>0</v>
      </c>
      <c r="U151" s="7" t="s">
        <v>0</v>
      </c>
      <c r="V151" s="7" t="s">
        <v>0</v>
      </c>
      <c r="W151" s="16" t="str">
        <f>HYPERLINK("http://www.aruplab.com/Testing-Information/resources/HotLines/HotLineDocs/Aug2023QHL/3006344.pdf","H")</f>
        <v>H</v>
      </c>
      <c r="X151" s="16" t="str">
        <f>HYPERLINK("http://www.aruplab.com/Testing-Information/resources/HotLines/TDMix/Aug2023QHL/3006344.xlsx","T")</f>
        <v>T</v>
      </c>
      <c r="Y151" s="16" t="str">
        <f>HYPERLINK("http://www.aruplab.com/Testing-Information/resources/HotLines/Sample_Reports/Aug2023QHL/3006344_Mycoplasmoides genitalium Detection and Macrolide Resistance by PCR_MACRO PCR.pdf","E")</f>
        <v>E</v>
      </c>
      <c r="Z151" s="16" t="str">
        <f>HYPERLINK("https://connect.aruplab.com/Pricing/TestPrice/3006344/D08212023","P")</f>
        <v>P</v>
      </c>
      <c r="AA151" s="8">
        <v>45068</v>
      </c>
    </row>
    <row r="152" spans="1:27" ht="45">
      <c r="A152" s="6" t="s">
        <v>462</v>
      </c>
      <c r="B152" s="6" t="s">
        <v>463</v>
      </c>
      <c r="C152" s="6" t="s">
        <v>464</v>
      </c>
      <c r="D152" s="7" t="s">
        <v>35</v>
      </c>
      <c r="E152" s="7" t="s">
        <v>0</v>
      </c>
      <c r="F152" s="7" t="s">
        <v>0</v>
      </c>
      <c r="G152" s="7" t="s">
        <v>0</v>
      </c>
      <c r="H152" s="7" t="s">
        <v>0</v>
      </c>
      <c r="I152" s="7" t="s">
        <v>0</v>
      </c>
      <c r="J152" s="7" t="s">
        <v>0</v>
      </c>
      <c r="K152" s="7" t="s">
        <v>0</v>
      </c>
      <c r="L152" s="7" t="s">
        <v>0</v>
      </c>
      <c r="M152" s="7" t="s">
        <v>0</v>
      </c>
      <c r="N152" s="7" t="s">
        <v>0</v>
      </c>
      <c r="O152" s="7" t="s">
        <v>0</v>
      </c>
      <c r="P152" s="7" t="s">
        <v>0</v>
      </c>
      <c r="Q152" s="7" t="s">
        <v>0</v>
      </c>
      <c r="R152" s="7" t="s">
        <v>0</v>
      </c>
      <c r="S152" s="7" t="s">
        <v>0</v>
      </c>
      <c r="T152" s="7" t="s">
        <v>0</v>
      </c>
      <c r="U152" s="7" t="s">
        <v>0</v>
      </c>
      <c r="V152" s="7" t="s">
        <v>0</v>
      </c>
      <c r="W152" s="16" t="str">
        <f>HYPERLINK("http://www.aruplab.com/Testing-Information/resources/HotLines/HotLineDocs/Aug2023QHL/3006351.pdf","H")</f>
        <v>H</v>
      </c>
      <c r="X152" s="16" t="str">
        <f>HYPERLINK("http://www.aruplab.com/Testing-Information/resources/HotLines/TDMix/Aug2023QHL/3006351.xlsx","T")</f>
        <v>T</v>
      </c>
      <c r="Y152" s="7" t="s">
        <v>0</v>
      </c>
      <c r="Z152" s="16" t="str">
        <f>HYPERLINK("https://connect.aruplab.com/Pricing/TestPrice/3006351/D08212023","P")</f>
        <v>P</v>
      </c>
      <c r="AA152" s="8">
        <v>45034</v>
      </c>
    </row>
    <row r="153" spans="1:27" ht="45">
      <c r="A153" s="6" t="s">
        <v>465</v>
      </c>
      <c r="B153" s="6" t="s">
        <v>466</v>
      </c>
      <c r="C153" s="6" t="s">
        <v>467</v>
      </c>
      <c r="D153" s="7" t="s">
        <v>35</v>
      </c>
      <c r="E153" s="7" t="s">
        <v>0</v>
      </c>
      <c r="F153" s="7" t="s">
        <v>0</v>
      </c>
      <c r="G153" s="7" t="s">
        <v>0</v>
      </c>
      <c r="H153" s="7" t="s">
        <v>0</v>
      </c>
      <c r="I153" s="7" t="s">
        <v>0</v>
      </c>
      <c r="J153" s="7" t="s">
        <v>0</v>
      </c>
      <c r="K153" s="7" t="s">
        <v>0</v>
      </c>
      <c r="L153" s="7" t="s">
        <v>0</v>
      </c>
      <c r="M153" s="7" t="s">
        <v>0</v>
      </c>
      <c r="N153" s="7" t="s">
        <v>0</v>
      </c>
      <c r="O153" s="7" t="s">
        <v>0</v>
      </c>
      <c r="P153" s="7" t="s">
        <v>0</v>
      </c>
      <c r="Q153" s="7" t="s">
        <v>0</v>
      </c>
      <c r="R153" s="7" t="s">
        <v>0</v>
      </c>
      <c r="S153" s="7" t="s">
        <v>0</v>
      </c>
      <c r="T153" s="7" t="s">
        <v>0</v>
      </c>
      <c r="U153" s="7" t="s">
        <v>0</v>
      </c>
      <c r="V153" s="7" t="s">
        <v>0</v>
      </c>
      <c r="W153" s="16" t="str">
        <f>HYPERLINK("http://www.aruplab.com/Testing-Information/resources/HotLines/HotLineDocs/Aug2023QHL/3006357.pdf","H")</f>
        <v>H</v>
      </c>
      <c r="X153" s="16" t="str">
        <f>HYPERLINK("http://www.aruplab.com/Testing-Information/resources/HotLines/TDMix/Aug2023QHL/3006357.xlsx","T")</f>
        <v>T</v>
      </c>
      <c r="Y153" s="16" t="str">
        <f>HYPERLINK("http://www.aruplab.com/Testing-Information/resources/HotLines/Sample_Reports/Aug2023QHL/3006357_NR4A3 Rearrangement by FISH_NR4A3FISH.pdf","E")</f>
        <v>E</v>
      </c>
      <c r="Z153" s="16" t="str">
        <f>HYPERLINK("https://connect.aruplab.com/Pricing/TestPrice/3006357/D08212023","P")</f>
        <v>P</v>
      </c>
      <c r="AA153" s="8">
        <v>45069</v>
      </c>
    </row>
    <row r="154" spans="1:27" ht="60">
      <c r="A154" s="6" t="s">
        <v>468</v>
      </c>
      <c r="B154" s="6" t="s">
        <v>469</v>
      </c>
      <c r="C154" s="6" t="s">
        <v>470</v>
      </c>
      <c r="D154" s="7" t="s">
        <v>35</v>
      </c>
      <c r="E154" s="7" t="s">
        <v>0</v>
      </c>
      <c r="F154" s="7" t="s">
        <v>0</v>
      </c>
      <c r="G154" s="7" t="s">
        <v>0</v>
      </c>
      <c r="H154" s="7" t="s">
        <v>0</v>
      </c>
      <c r="I154" s="7" t="s">
        <v>0</v>
      </c>
      <c r="J154" s="7" t="s">
        <v>0</v>
      </c>
      <c r="K154" s="7" t="s">
        <v>0</v>
      </c>
      <c r="L154" s="7" t="s">
        <v>0</v>
      </c>
      <c r="M154" s="7" t="s">
        <v>0</v>
      </c>
      <c r="N154" s="7" t="s">
        <v>0</v>
      </c>
      <c r="O154" s="7" t="s">
        <v>0</v>
      </c>
      <c r="P154" s="7" t="s">
        <v>0</v>
      </c>
      <c r="Q154" s="7" t="s">
        <v>0</v>
      </c>
      <c r="R154" s="7" t="s">
        <v>0</v>
      </c>
      <c r="S154" s="7" t="s">
        <v>0</v>
      </c>
      <c r="T154" s="7" t="s">
        <v>0</v>
      </c>
      <c r="U154" s="7" t="s">
        <v>0</v>
      </c>
      <c r="V154" s="7" t="s">
        <v>0</v>
      </c>
      <c r="W154" s="16" t="str">
        <f>HYPERLINK("http://www.aruplab.com/Testing-Information/resources/HotLines/HotLineDocs/Aug2023QHL/3006366.pdf","H")</f>
        <v>H</v>
      </c>
      <c r="X154" s="16" t="str">
        <f>HYPERLINK("http://www.aruplab.com/Testing-Information/resources/HotLines/TDMix/Aug2023QHL/3006366.xlsx","T")</f>
        <v>T</v>
      </c>
      <c r="Y154" s="7" t="s">
        <v>0</v>
      </c>
      <c r="Z154" s="16" t="str">
        <f>HYPERLINK("https://connect.aruplab.com/Pricing/TestPrice/3006366/D08212023","P")</f>
        <v>P</v>
      </c>
      <c r="AA154" s="8">
        <v>45159</v>
      </c>
    </row>
    <row r="155" spans="1:27" ht="30">
      <c r="A155" s="6" t="s">
        <v>471</v>
      </c>
      <c r="B155" s="6" t="s">
        <v>472</v>
      </c>
      <c r="C155" s="6" t="s">
        <v>473</v>
      </c>
      <c r="D155" s="7" t="s">
        <v>35</v>
      </c>
      <c r="E155" s="7" t="s">
        <v>0</v>
      </c>
      <c r="F155" s="7" t="s">
        <v>0</v>
      </c>
      <c r="G155" s="7" t="s">
        <v>0</v>
      </c>
      <c r="H155" s="7" t="s">
        <v>0</v>
      </c>
      <c r="I155" s="7" t="s">
        <v>0</v>
      </c>
      <c r="J155" s="7" t="s">
        <v>0</v>
      </c>
      <c r="K155" s="7" t="s">
        <v>0</v>
      </c>
      <c r="L155" s="7" t="s">
        <v>0</v>
      </c>
      <c r="M155" s="7" t="s">
        <v>0</v>
      </c>
      <c r="N155" s="7" t="s">
        <v>0</v>
      </c>
      <c r="O155" s="7" t="s">
        <v>0</v>
      </c>
      <c r="P155" s="7" t="s">
        <v>0</v>
      </c>
      <c r="Q155" s="7" t="s">
        <v>0</v>
      </c>
      <c r="R155" s="7" t="s">
        <v>0</v>
      </c>
      <c r="S155" s="7" t="s">
        <v>0</v>
      </c>
      <c r="T155" s="7" t="s">
        <v>0</v>
      </c>
      <c r="U155" s="7" t="s">
        <v>0</v>
      </c>
      <c r="V155" s="7" t="s">
        <v>0</v>
      </c>
      <c r="W155" s="16" t="str">
        <f>HYPERLINK("http://www.aruplab.com/Testing-Information/resources/HotLines/HotLineDocs/Aug2023QHL/3006367.pdf","H")</f>
        <v>H</v>
      </c>
      <c r="X155" s="16" t="str">
        <f>HYPERLINK("http://www.aruplab.com/Testing-Information/resources/HotLines/TDMix/Aug2023QHL/3006367.xlsx","T")</f>
        <v>T</v>
      </c>
      <c r="Y155" s="7" t="s">
        <v>0</v>
      </c>
      <c r="Z155" s="16" t="str">
        <f>HYPERLINK("https://connect.aruplab.com/Pricing/TestPrice/3006367/D08212023","P")</f>
        <v>P</v>
      </c>
      <c r="AA155" s="8">
        <v>45068</v>
      </c>
    </row>
    <row r="156" spans="1:27" ht="30">
      <c r="A156" s="6" t="s">
        <v>474</v>
      </c>
      <c r="B156" s="6" t="s">
        <v>475</v>
      </c>
      <c r="C156" s="6" t="s">
        <v>476</v>
      </c>
      <c r="D156" s="7" t="s">
        <v>35</v>
      </c>
      <c r="E156" s="7" t="s">
        <v>0</v>
      </c>
      <c r="F156" s="7" t="s">
        <v>0</v>
      </c>
      <c r="G156" s="7" t="s">
        <v>0</v>
      </c>
      <c r="H156" s="7" t="s">
        <v>0</v>
      </c>
      <c r="I156" s="7" t="s">
        <v>0</v>
      </c>
      <c r="J156" s="7" t="s">
        <v>0</v>
      </c>
      <c r="K156" s="7" t="s">
        <v>0</v>
      </c>
      <c r="L156" s="7" t="s">
        <v>0</v>
      </c>
      <c r="M156" s="7" t="s">
        <v>0</v>
      </c>
      <c r="N156" s="7" t="s">
        <v>0</v>
      </c>
      <c r="O156" s="7" t="s">
        <v>0</v>
      </c>
      <c r="P156" s="7" t="s">
        <v>0</v>
      </c>
      <c r="Q156" s="7" t="s">
        <v>0</v>
      </c>
      <c r="R156" s="7" t="s">
        <v>0</v>
      </c>
      <c r="S156" s="7" t="s">
        <v>0</v>
      </c>
      <c r="T156" s="7" t="s">
        <v>0</v>
      </c>
      <c r="U156" s="7" t="s">
        <v>0</v>
      </c>
      <c r="V156" s="7" t="s">
        <v>0</v>
      </c>
      <c r="W156" s="16" t="str">
        <f>HYPERLINK("http://www.aruplab.com/Testing-Information/resources/HotLines/HotLineDocs/Aug2023QHL/3006370.pdf","H")</f>
        <v>H</v>
      </c>
      <c r="X156" s="16" t="str">
        <f>HYPERLINK("http://www.aruplab.com/Testing-Information/resources/HotLines/TDMix/Aug2023QHL/3006370.xlsx","T")</f>
        <v>T</v>
      </c>
      <c r="Y156" s="16" t="str">
        <f>HYPERLINK("http://www.aruplab.com/Testing-Information/resources/HotLines/Sample_Reports/Aug2023QHL/3006370_Candida auris by PCR_CAURIS PCR.pdf","E")</f>
        <v>E</v>
      </c>
      <c r="Z156" s="16" t="str">
        <f>HYPERLINK("https://connect.aruplab.com/Pricing/TestPrice/3006370/D08212023","P")</f>
        <v>P</v>
      </c>
      <c r="AA156" s="8">
        <v>45040</v>
      </c>
    </row>
    <row r="157" spans="1:27" ht="45">
      <c r="A157" s="6" t="s">
        <v>477</v>
      </c>
      <c r="B157" s="6" t="s">
        <v>478</v>
      </c>
      <c r="C157" s="6" t="s">
        <v>479</v>
      </c>
      <c r="D157" s="7" t="s">
        <v>0</v>
      </c>
      <c r="E157" s="7" t="s">
        <v>0</v>
      </c>
      <c r="F157" s="7" t="s">
        <v>0</v>
      </c>
      <c r="G157" s="7" t="s">
        <v>35</v>
      </c>
      <c r="H157" s="7" t="s">
        <v>0</v>
      </c>
      <c r="I157" s="7" t="s">
        <v>0</v>
      </c>
      <c r="J157" s="7" t="s">
        <v>0</v>
      </c>
      <c r="K157" s="7" t="s">
        <v>35</v>
      </c>
      <c r="L157" s="7" t="s">
        <v>0</v>
      </c>
      <c r="M157" s="7" t="s">
        <v>35</v>
      </c>
      <c r="N157" s="7" t="s">
        <v>0</v>
      </c>
      <c r="O157" s="7" t="s">
        <v>0</v>
      </c>
      <c r="P157" s="7" t="s">
        <v>0</v>
      </c>
      <c r="Q157" s="7" t="s">
        <v>0</v>
      </c>
      <c r="R157" s="7" t="s">
        <v>0</v>
      </c>
      <c r="S157" s="7" t="s">
        <v>35</v>
      </c>
      <c r="T157" s="7" t="s">
        <v>0</v>
      </c>
      <c r="U157" s="7" t="s">
        <v>0</v>
      </c>
      <c r="V157" s="7" t="s">
        <v>0</v>
      </c>
      <c r="W157" s="16" t="str">
        <f>HYPERLINK("http://www.aruplab.com/Testing-Information/resources/HotLines/HotLineDocs/Aug2023QHL/3006373.pdf","H")</f>
        <v>H</v>
      </c>
      <c r="X157" s="16" t="str">
        <f>HYPERLINK("http://www.aruplab.com/Testing-Information/resources/HotLines/TDMix/Aug2023QHL/3006373.xlsx","T")</f>
        <v>T</v>
      </c>
      <c r="Y157" s="7" t="s">
        <v>0</v>
      </c>
      <c r="Z157" s="7" t="s">
        <v>0</v>
      </c>
      <c r="AA157" s="8">
        <v>45159</v>
      </c>
    </row>
    <row r="158" spans="1:27" ht="75">
      <c r="A158" s="6" t="s">
        <v>480</v>
      </c>
      <c r="B158" s="6" t="s">
        <v>481</v>
      </c>
      <c r="C158" s="6" t="s">
        <v>482</v>
      </c>
      <c r="D158" s="7" t="s">
        <v>35</v>
      </c>
      <c r="E158" s="7" t="s">
        <v>0</v>
      </c>
      <c r="F158" s="7" t="s">
        <v>0</v>
      </c>
      <c r="G158" s="7" t="s">
        <v>0</v>
      </c>
      <c r="H158" s="7" t="s">
        <v>0</v>
      </c>
      <c r="I158" s="7" t="s">
        <v>0</v>
      </c>
      <c r="J158" s="7" t="s">
        <v>0</v>
      </c>
      <c r="K158" s="7" t="s">
        <v>0</v>
      </c>
      <c r="L158" s="7" t="s">
        <v>0</v>
      </c>
      <c r="M158" s="7" t="s">
        <v>0</v>
      </c>
      <c r="N158" s="7" t="s">
        <v>0</v>
      </c>
      <c r="O158" s="7" t="s">
        <v>0</v>
      </c>
      <c r="P158" s="7" t="s">
        <v>0</v>
      </c>
      <c r="Q158" s="7" t="s">
        <v>0</v>
      </c>
      <c r="R158" s="7" t="s">
        <v>0</v>
      </c>
      <c r="S158" s="7" t="s">
        <v>0</v>
      </c>
      <c r="T158" s="7" t="s">
        <v>0</v>
      </c>
      <c r="U158" s="7" t="s">
        <v>0</v>
      </c>
      <c r="V158" s="7" t="s">
        <v>0</v>
      </c>
      <c r="W158" s="16" t="str">
        <f>HYPERLINK("http://www.aruplab.com/Testing-Information/resources/HotLines/HotLineDocs/Aug2023QHL/3006379.pdf","H")</f>
        <v>H</v>
      </c>
      <c r="X158" s="16" t="str">
        <f>HYPERLINK("http://www.aruplab.com/Testing-Information/resources/HotLines/TDMix/Aug2023QHL/3006379.xlsx","T")</f>
        <v>T</v>
      </c>
      <c r="Y158" s="16" t="str">
        <f>HYPERLINK("http://www.aruplab.com/Testing-Information/resources/HotLines/Sample_Reports/Aug2023QHL/3006379_Hepatitis Delta Virus Antibody by ELISA With Reflex to Hepatitis Delta Virus by Quantitative PCR_HEPD AB QR.pdf","E")</f>
        <v>E</v>
      </c>
      <c r="Z158" s="16" t="str">
        <f>HYPERLINK("https://connect.aruplab.com/Pricing/TestPrice/3006379/D08212023","P")</f>
        <v>P</v>
      </c>
      <c r="AA158" s="8">
        <v>45103</v>
      </c>
    </row>
    <row r="159" spans="1:27" ht="30">
      <c r="A159" s="6" t="s">
        <v>483</v>
      </c>
      <c r="B159" s="6" t="s">
        <v>484</v>
      </c>
      <c r="C159" s="6" t="s">
        <v>485</v>
      </c>
      <c r="D159" s="7" t="s">
        <v>35</v>
      </c>
      <c r="E159" s="7" t="s">
        <v>0</v>
      </c>
      <c r="F159" s="7" t="s">
        <v>0</v>
      </c>
      <c r="G159" s="7" t="s">
        <v>0</v>
      </c>
      <c r="H159" s="7" t="s">
        <v>0</v>
      </c>
      <c r="I159" s="7" t="s">
        <v>0</v>
      </c>
      <c r="J159" s="7" t="s">
        <v>0</v>
      </c>
      <c r="K159" s="7" t="s">
        <v>0</v>
      </c>
      <c r="L159" s="7" t="s">
        <v>0</v>
      </c>
      <c r="M159" s="7" t="s">
        <v>0</v>
      </c>
      <c r="N159" s="7" t="s">
        <v>0</v>
      </c>
      <c r="O159" s="7" t="s">
        <v>0</v>
      </c>
      <c r="P159" s="7" t="s">
        <v>0</v>
      </c>
      <c r="Q159" s="7" t="s">
        <v>0</v>
      </c>
      <c r="R159" s="7" t="s">
        <v>0</v>
      </c>
      <c r="S159" s="7" t="s">
        <v>0</v>
      </c>
      <c r="T159" s="7" t="s">
        <v>0</v>
      </c>
      <c r="U159" s="7" t="s">
        <v>0</v>
      </c>
      <c r="V159" s="7" t="s">
        <v>0</v>
      </c>
      <c r="W159" s="16" t="str">
        <f>HYPERLINK("http://www.aruplab.com/Testing-Information/resources/HotLines/HotLineDocs/Aug2023QHL/3016457.pdf","H")</f>
        <v>H</v>
      </c>
      <c r="X159" s="16" t="str">
        <f>HYPERLINK("http://www.aruplab.com/Testing-Information/resources/HotLines/TDMix/Aug2023QHL/3016457.xlsx","T")</f>
        <v>T</v>
      </c>
      <c r="Y159" s="16" t="str">
        <f>HYPERLINK("http://www.aruplab.com/Testing-Information/resources/HotLines/Sample_Reports/Aug2023QHL/3016457_Pneumonia Panel by PCR_PFAP.pdf","E")</f>
        <v>E</v>
      </c>
      <c r="Z159" s="16" t="str">
        <f>HYPERLINK("https://connect.aruplab.com/Pricing/TestPrice/3016457/D08212023","P")</f>
        <v>P</v>
      </c>
      <c r="AA159" s="8">
        <v>45113</v>
      </c>
    </row>
    <row r="160" spans="1:27" ht="30">
      <c r="A160" s="6" t="s">
        <v>486</v>
      </c>
      <c r="B160" s="6" t="s">
        <v>487</v>
      </c>
      <c r="C160" s="6" t="s">
        <v>488</v>
      </c>
      <c r="D160" s="7" t="s">
        <v>35</v>
      </c>
      <c r="E160" s="7" t="s">
        <v>0</v>
      </c>
      <c r="F160" s="7" t="s">
        <v>0</v>
      </c>
      <c r="G160" s="7" t="s">
        <v>0</v>
      </c>
      <c r="H160" s="7" t="s">
        <v>0</v>
      </c>
      <c r="I160" s="7" t="s">
        <v>0</v>
      </c>
      <c r="J160" s="7" t="s">
        <v>0</v>
      </c>
      <c r="K160" s="7" t="s">
        <v>0</v>
      </c>
      <c r="L160" s="7" t="s">
        <v>0</v>
      </c>
      <c r="M160" s="7" t="s">
        <v>0</v>
      </c>
      <c r="N160" s="7" t="s">
        <v>0</v>
      </c>
      <c r="O160" s="7" t="s">
        <v>0</v>
      </c>
      <c r="P160" s="7" t="s">
        <v>0</v>
      </c>
      <c r="Q160" s="7" t="s">
        <v>0</v>
      </c>
      <c r="R160" s="7" t="s">
        <v>0</v>
      </c>
      <c r="S160" s="7" t="s">
        <v>0</v>
      </c>
      <c r="T160" s="7" t="s">
        <v>0</v>
      </c>
      <c r="U160" s="7" t="s">
        <v>0</v>
      </c>
      <c r="V160" s="7" t="s">
        <v>0</v>
      </c>
      <c r="W160" s="16" t="str">
        <f>HYPERLINK("http://www.aruplab.com/Testing-Information/resources/HotLines/HotLineDocs/Aug2023QHL/3016493.pdf","H")</f>
        <v>H</v>
      </c>
      <c r="X160" s="16" t="str">
        <f>HYPERLINK("http://www.aruplab.com/Testing-Information/resources/HotLines/TDMix/Aug2023QHL/3016493.xlsx","T")</f>
        <v>T</v>
      </c>
      <c r="Y160" s="16" t="str">
        <f>HYPERLINK("http://www.aruplab.com/Testing-Information/resources/HotLines/Sample_Reports/Aug2023QHL/3016493_Whole Genome Sequencing_WGS NGS.pdf","E")</f>
        <v>E</v>
      </c>
      <c r="Z160" s="16" t="str">
        <f>HYPERLINK("https://connect.aruplab.com/Pricing/TestPrice/3016493/D08212023","P")</f>
        <v>P</v>
      </c>
      <c r="AA160" s="8">
        <v>45089</v>
      </c>
    </row>
    <row r="161" spans="1:27" ht="45">
      <c r="A161" s="6" t="s">
        <v>489</v>
      </c>
      <c r="B161" s="6" t="s">
        <v>490</v>
      </c>
      <c r="C161" s="6" t="s">
        <v>491</v>
      </c>
      <c r="D161" s="7" t="s">
        <v>35</v>
      </c>
      <c r="E161" s="7" t="s">
        <v>0</v>
      </c>
      <c r="F161" s="7" t="s">
        <v>0</v>
      </c>
      <c r="G161" s="7" t="s">
        <v>0</v>
      </c>
      <c r="H161" s="7" t="s">
        <v>0</v>
      </c>
      <c r="I161" s="7" t="s">
        <v>0</v>
      </c>
      <c r="J161" s="7" t="s">
        <v>0</v>
      </c>
      <c r="K161" s="7" t="s">
        <v>0</v>
      </c>
      <c r="L161" s="7" t="s">
        <v>0</v>
      </c>
      <c r="M161" s="7" t="s">
        <v>0</v>
      </c>
      <c r="N161" s="7" t="s">
        <v>0</v>
      </c>
      <c r="O161" s="7" t="s">
        <v>0</v>
      </c>
      <c r="P161" s="7" t="s">
        <v>0</v>
      </c>
      <c r="Q161" s="7" t="s">
        <v>0</v>
      </c>
      <c r="R161" s="7" t="s">
        <v>0</v>
      </c>
      <c r="S161" s="7" t="s">
        <v>0</v>
      </c>
      <c r="T161" s="7" t="s">
        <v>0</v>
      </c>
      <c r="U161" s="7" t="s">
        <v>0</v>
      </c>
      <c r="V161" s="7" t="s">
        <v>0</v>
      </c>
      <c r="W161" s="16" t="str">
        <f>HYPERLINK("http://www.aruplab.com/Testing-Information/resources/HotLines/HotLineDocs/Aug2023QHL/3016497.pdf","H")</f>
        <v>H</v>
      </c>
      <c r="X161" s="16" t="str">
        <f>HYPERLINK("http://www.aruplab.com/Testing-Information/resources/HotLines/TDMix/Aug2023QHL/3016497.xlsx","T")</f>
        <v>T</v>
      </c>
      <c r="Y161" s="16" t="str">
        <f>HYPERLINK("http://www.aruplab.com/Testing-Information/resources/HotLines/Sample_Reports/Aug2023QHL/3016497_Whole Genome Sequencing Familial Control_WGS FRPT.pdf","E")</f>
        <v>E</v>
      </c>
      <c r="Z161" s="16" t="str">
        <f>HYPERLINK("https://connect.aruplab.com/Pricing/TestPrice/3016497/D08212023","P")</f>
        <v>P</v>
      </c>
      <c r="AA161" s="8">
        <v>45089</v>
      </c>
    </row>
    <row r="162" spans="1:27" ht="45">
      <c r="A162" s="6" t="s">
        <v>492</v>
      </c>
      <c r="B162" s="6" t="s">
        <v>493</v>
      </c>
      <c r="C162" s="6" t="s">
        <v>494</v>
      </c>
      <c r="D162" s="7" t="s">
        <v>35</v>
      </c>
      <c r="E162" s="7" t="s">
        <v>0</v>
      </c>
      <c r="F162" s="7" t="s">
        <v>0</v>
      </c>
      <c r="G162" s="7" t="s">
        <v>0</v>
      </c>
      <c r="H162" s="7" t="s">
        <v>0</v>
      </c>
      <c r="I162" s="7" t="s">
        <v>0</v>
      </c>
      <c r="J162" s="7" t="s">
        <v>0</v>
      </c>
      <c r="K162" s="7" t="s">
        <v>0</v>
      </c>
      <c r="L162" s="7" t="s">
        <v>0</v>
      </c>
      <c r="M162" s="7" t="s">
        <v>0</v>
      </c>
      <c r="N162" s="7" t="s">
        <v>0</v>
      </c>
      <c r="O162" s="7" t="s">
        <v>0</v>
      </c>
      <c r="P162" s="7" t="s">
        <v>0</v>
      </c>
      <c r="Q162" s="7" t="s">
        <v>0</v>
      </c>
      <c r="R162" s="7" t="s">
        <v>0</v>
      </c>
      <c r="S162" s="7" t="s">
        <v>0</v>
      </c>
      <c r="T162" s="7" t="s">
        <v>0</v>
      </c>
      <c r="U162" s="7" t="s">
        <v>0</v>
      </c>
      <c r="V162" s="7" t="s">
        <v>0</v>
      </c>
      <c r="W162" s="16" t="str">
        <f>HYPERLINK("http://www.aruplab.com/Testing-Information/resources/HotLines/HotLineDocs/Aug2023QHL/3016503.pdf","H")</f>
        <v>H</v>
      </c>
      <c r="X162" s="16" t="str">
        <f>HYPERLINK("http://www.aruplab.com/Testing-Information/resources/HotLines/TDMix/Aug2023QHL/3016503.xlsx","T")</f>
        <v>T</v>
      </c>
      <c r="Y162" s="16" t="str">
        <f>HYPERLINK("http://www.aruplab.com/Testing-Information/resources/HotLines/Sample_Reports/Aug2023QHL/3016503_Thiopurine Metabolites in Red Blood Cells_THIOMET.pdf","E")</f>
        <v>E</v>
      </c>
      <c r="Z162" s="16" t="str">
        <f>HYPERLINK("https://connect.aruplab.com/Pricing/TestPrice/3016503/D08212023","P")</f>
        <v>P</v>
      </c>
      <c r="AA162" s="8">
        <v>45159</v>
      </c>
    </row>
    <row r="163" spans="1:27" ht="30">
      <c r="A163" s="6" t="s">
        <v>495</v>
      </c>
      <c r="B163" s="6" t="s">
        <v>496</v>
      </c>
      <c r="C163" s="6" t="s">
        <v>497</v>
      </c>
      <c r="D163" s="7" t="s">
        <v>35</v>
      </c>
      <c r="E163" s="7" t="s">
        <v>0</v>
      </c>
      <c r="F163" s="7" t="s">
        <v>0</v>
      </c>
      <c r="G163" s="7" t="s">
        <v>0</v>
      </c>
      <c r="H163" s="7" t="s">
        <v>0</v>
      </c>
      <c r="I163" s="7" t="s">
        <v>0</v>
      </c>
      <c r="J163" s="7" t="s">
        <v>0</v>
      </c>
      <c r="K163" s="7" t="s">
        <v>0</v>
      </c>
      <c r="L163" s="7" t="s">
        <v>0</v>
      </c>
      <c r="M163" s="7" t="s">
        <v>0</v>
      </c>
      <c r="N163" s="7" t="s">
        <v>0</v>
      </c>
      <c r="O163" s="7" t="s">
        <v>0</v>
      </c>
      <c r="P163" s="7" t="s">
        <v>0</v>
      </c>
      <c r="Q163" s="7" t="s">
        <v>0</v>
      </c>
      <c r="R163" s="7" t="s">
        <v>0</v>
      </c>
      <c r="S163" s="7" t="s">
        <v>0</v>
      </c>
      <c r="T163" s="7" t="s">
        <v>0</v>
      </c>
      <c r="U163" s="7" t="s">
        <v>0</v>
      </c>
      <c r="V163" s="7" t="s">
        <v>0</v>
      </c>
      <c r="W163" s="16" t="str">
        <f>HYPERLINK("http://www.aruplab.com/Testing-Information/resources/HotLines/HotLineDocs/Aug2023QHL/3016533.pdf","H")</f>
        <v>H</v>
      </c>
      <c r="X163" s="16" t="str">
        <f>HYPERLINK("http://www.aruplab.com/Testing-Information/resources/HotLines/TDMix/Aug2023QHL/3016533.xlsx","T")</f>
        <v>T</v>
      </c>
      <c r="Y163" s="16" t="str">
        <f>HYPERLINK("http://www.aruplab.com/Testing-Information/resources/HotLines/Sample_Reports/Aug2023QHL/3016533_Envoplakin Antibody, IgG by ELISA_ENVO IGG.pdf","E")</f>
        <v>E</v>
      </c>
      <c r="Z163" s="16" t="str">
        <f>HYPERLINK("https://connect.aruplab.com/Pricing/TestPrice/3016533/D08212023","P")</f>
        <v>P</v>
      </c>
      <c r="AA163" s="8">
        <v>45159</v>
      </c>
    </row>
    <row r="164" spans="1:27" ht="120">
      <c r="A164" s="6" t="s">
        <v>498</v>
      </c>
      <c r="B164" s="6" t="s">
        <v>499</v>
      </c>
      <c r="C164" s="6" t="s">
        <v>500</v>
      </c>
      <c r="D164" s="7" t="s">
        <v>35</v>
      </c>
      <c r="E164" s="7" t="s">
        <v>0</v>
      </c>
      <c r="F164" s="7" t="s">
        <v>0</v>
      </c>
      <c r="G164" s="7" t="s">
        <v>0</v>
      </c>
      <c r="H164" s="7" t="s">
        <v>0</v>
      </c>
      <c r="I164" s="7" t="s">
        <v>0</v>
      </c>
      <c r="J164" s="7" t="s">
        <v>0</v>
      </c>
      <c r="K164" s="7" t="s">
        <v>0</v>
      </c>
      <c r="L164" s="7" t="s">
        <v>0</v>
      </c>
      <c r="M164" s="7" t="s">
        <v>0</v>
      </c>
      <c r="N164" s="7" t="s">
        <v>0</v>
      </c>
      <c r="O164" s="7" t="s">
        <v>0</v>
      </c>
      <c r="P164" s="7" t="s">
        <v>0</v>
      </c>
      <c r="Q164" s="7" t="s">
        <v>0</v>
      </c>
      <c r="R164" s="7" t="s">
        <v>0</v>
      </c>
      <c r="S164" s="7" t="s">
        <v>0</v>
      </c>
      <c r="T164" s="7" t="s">
        <v>0</v>
      </c>
      <c r="U164" s="7" t="s">
        <v>0</v>
      </c>
      <c r="V164" s="7" t="s">
        <v>0</v>
      </c>
      <c r="W164" s="16" t="str">
        <f>HYPERLINK("http://www.aruplab.com/Testing-Information/resources/HotLines/HotLineDocs/Aug2023QHL/3016534.pdf","H")</f>
        <v>H</v>
      </c>
      <c r="X164" s="16" t="str">
        <f>HYPERLINK("http://www.aruplab.com/Testing-Information/resources/HotLines/TDMix/Aug2023QHL/3016534.xlsx","T")</f>
        <v>T</v>
      </c>
      <c r="Y164" s="16" t="str">
        <f>HYPERLINK("http://www.aruplab.com/Testing-Information/resources/HotLines/Sample_Reports/Aug2023QHL/3016534_Paraneoplastic Pemphigus Expanded Ab_PNP PLUS.pdf","E")</f>
        <v>E</v>
      </c>
      <c r="Z164" s="16" t="str">
        <f>HYPERLINK("https://connect.aruplab.com/Pricing/TestPrice/3016534/D08212023","P")</f>
        <v>P</v>
      </c>
      <c r="AA164" s="8">
        <v>45159</v>
      </c>
    </row>
    <row r="165" spans="1:27" ht="45">
      <c r="A165" s="6" t="s">
        <v>501</v>
      </c>
      <c r="B165" s="6" t="s">
        <v>502</v>
      </c>
      <c r="C165" s="6" t="s">
        <v>503</v>
      </c>
      <c r="D165" s="7" t="s">
        <v>35</v>
      </c>
      <c r="E165" s="7" t="s">
        <v>0</v>
      </c>
      <c r="F165" s="7" t="s">
        <v>0</v>
      </c>
      <c r="G165" s="7" t="s">
        <v>0</v>
      </c>
      <c r="H165" s="7" t="s">
        <v>0</v>
      </c>
      <c r="I165" s="7" t="s">
        <v>0</v>
      </c>
      <c r="J165" s="7" t="s">
        <v>0</v>
      </c>
      <c r="K165" s="7" t="s">
        <v>0</v>
      </c>
      <c r="L165" s="7" t="s">
        <v>0</v>
      </c>
      <c r="M165" s="7" t="s">
        <v>0</v>
      </c>
      <c r="N165" s="7" t="s">
        <v>0</v>
      </c>
      <c r="O165" s="7" t="s">
        <v>0</v>
      </c>
      <c r="P165" s="7" t="s">
        <v>0</v>
      </c>
      <c r="Q165" s="7" t="s">
        <v>0</v>
      </c>
      <c r="R165" s="7" t="s">
        <v>0</v>
      </c>
      <c r="S165" s="7" t="s">
        <v>0</v>
      </c>
      <c r="T165" s="7" t="s">
        <v>0</v>
      </c>
      <c r="U165" s="7" t="s">
        <v>0</v>
      </c>
      <c r="V165" s="7" t="s">
        <v>0</v>
      </c>
      <c r="W165" s="16" t="str">
        <f>HYPERLINK("http://www.aruplab.com/Testing-Information/resources/HotLines/HotLineDocs/Aug2023QHL/3016579.pdf","H")</f>
        <v>H</v>
      </c>
      <c r="X165" s="16" t="str">
        <f>HYPERLINK("http://www.aruplab.com/Testing-Information/resources/HotLines/TDMix/Aug2023QHL/3016579.xlsx","T")</f>
        <v>T</v>
      </c>
      <c r="Y165" s="16" t="str">
        <f>HYPERLINK("http://www.aruplab.com/Testing-Information/resources/HotLines/Sample_Reports/Aug2023QHL/3016579_Beta-hCG, Quantitative Pregnancy_QNT BHCG.pdf","E")</f>
        <v>E</v>
      </c>
      <c r="Z165" s="16" t="str">
        <f>HYPERLINK("https://connect.aruplab.com/Pricing/TestPrice/3016579/D08212023","P")</f>
        <v>P</v>
      </c>
      <c r="AA165" s="8">
        <v>45159</v>
      </c>
    </row>
    <row r="166" spans="1:27" ht="30">
      <c r="A166" s="6" t="s">
        <v>504</v>
      </c>
      <c r="B166" s="6" t="s">
        <v>505</v>
      </c>
      <c r="C166" s="6" t="s">
        <v>506</v>
      </c>
      <c r="D166" s="7" t="s">
        <v>35</v>
      </c>
      <c r="E166" s="7" t="s">
        <v>0</v>
      </c>
      <c r="F166" s="7" t="s">
        <v>0</v>
      </c>
      <c r="G166" s="7" t="s">
        <v>0</v>
      </c>
      <c r="H166" s="7" t="s">
        <v>0</v>
      </c>
      <c r="I166" s="7" t="s">
        <v>0</v>
      </c>
      <c r="J166" s="7" t="s">
        <v>0</v>
      </c>
      <c r="K166" s="7" t="s">
        <v>0</v>
      </c>
      <c r="L166" s="7" t="s">
        <v>0</v>
      </c>
      <c r="M166" s="7" t="s">
        <v>0</v>
      </c>
      <c r="N166" s="7" t="s">
        <v>0</v>
      </c>
      <c r="O166" s="7" t="s">
        <v>0</v>
      </c>
      <c r="P166" s="7" t="s">
        <v>0</v>
      </c>
      <c r="Q166" s="7" t="s">
        <v>0</v>
      </c>
      <c r="R166" s="7" t="s">
        <v>0</v>
      </c>
      <c r="S166" s="7" t="s">
        <v>0</v>
      </c>
      <c r="T166" s="7" t="s">
        <v>0</v>
      </c>
      <c r="U166" s="7" t="s">
        <v>0</v>
      </c>
      <c r="V166" s="7" t="s">
        <v>0</v>
      </c>
      <c r="W166" s="16" t="str">
        <f>HYPERLINK("http://www.aruplab.com/Testing-Information/resources/HotLines/HotLineDocs/Aug2023QHL/3016583.pdf","H")</f>
        <v>H</v>
      </c>
      <c r="X166" s="16" t="str">
        <f>HYPERLINK("http://www.aruplab.com/Testing-Information/resources/HotLines/TDMix/Aug2023QHL/3016583.xlsx","T")</f>
        <v>T</v>
      </c>
      <c r="Y166" s="16" t="str">
        <f>HYPERLINK("http://www.aruplab.com/Testing-Information/resources/HotLines/Sample_Reports/Aug2023QHL/3016583_Exome Sequencing_EXOME PRO.pdf","E")</f>
        <v>E</v>
      </c>
      <c r="Z166" s="16" t="str">
        <f>HYPERLINK("https://connect.aruplab.com/Pricing/TestPrice/3016583/D08212023","P")</f>
        <v>P</v>
      </c>
      <c r="AA166" s="8">
        <v>45159</v>
      </c>
    </row>
    <row r="167" spans="1:27" ht="30">
      <c r="A167" s="6" t="s">
        <v>507</v>
      </c>
      <c r="B167" s="6" t="s">
        <v>508</v>
      </c>
      <c r="C167" s="6" t="s">
        <v>509</v>
      </c>
      <c r="D167" s="7" t="s">
        <v>35</v>
      </c>
      <c r="E167" s="7" t="s">
        <v>0</v>
      </c>
      <c r="F167" s="7" t="s">
        <v>0</v>
      </c>
      <c r="G167" s="7" t="s">
        <v>0</v>
      </c>
      <c r="H167" s="7" t="s">
        <v>0</v>
      </c>
      <c r="I167" s="7" t="s">
        <v>0</v>
      </c>
      <c r="J167" s="7" t="s">
        <v>0</v>
      </c>
      <c r="K167" s="7" t="s">
        <v>0</v>
      </c>
      <c r="L167" s="7" t="s">
        <v>0</v>
      </c>
      <c r="M167" s="7" t="s">
        <v>0</v>
      </c>
      <c r="N167" s="7" t="s">
        <v>0</v>
      </c>
      <c r="O167" s="7" t="s">
        <v>0</v>
      </c>
      <c r="P167" s="7" t="s">
        <v>0</v>
      </c>
      <c r="Q167" s="7" t="s">
        <v>0</v>
      </c>
      <c r="R167" s="7" t="s">
        <v>0</v>
      </c>
      <c r="S167" s="7" t="s">
        <v>0</v>
      </c>
      <c r="T167" s="7" t="s">
        <v>0</v>
      </c>
      <c r="U167" s="7" t="s">
        <v>0</v>
      </c>
      <c r="V167" s="7" t="s">
        <v>0</v>
      </c>
      <c r="W167" s="16" t="str">
        <f>HYPERLINK("http://www.aruplab.com/Testing-Information/resources/HotLines/HotLineDocs/Aug2023QHL/3016589.pdf","H")</f>
        <v>H</v>
      </c>
      <c r="X167" s="16" t="str">
        <f>HYPERLINK("http://www.aruplab.com/Testing-Information/resources/HotLines/TDMix/Aug2023QHL/3016589.xlsx","T")</f>
        <v>T</v>
      </c>
      <c r="Y167" s="16" t="str">
        <f>HYPERLINK("http://www.aruplab.com/Testing-Information/resources/HotLines/Sample_Reports/Aug2023QHL/3016589_Exome Sequencing Familial Control_EXOME FRPT.pdf","E")</f>
        <v>E</v>
      </c>
      <c r="Z167" s="16" t="str">
        <f>HYPERLINK("https://connect.aruplab.com/Pricing/TestPrice/3016589/D08212023","P")</f>
        <v>P</v>
      </c>
      <c r="AA167" s="8">
        <v>45159</v>
      </c>
    </row>
    <row r="168" spans="1:27">
      <c r="A168" s="6" t="s">
        <v>510</v>
      </c>
      <c r="B168" s="6" t="s">
        <v>511</v>
      </c>
      <c r="C168" s="6" t="s">
        <v>512</v>
      </c>
      <c r="D168" s="7" t="s">
        <v>35</v>
      </c>
      <c r="E168" s="7" t="s">
        <v>0</v>
      </c>
      <c r="F168" s="7" t="s">
        <v>0</v>
      </c>
      <c r="G168" s="7" t="s">
        <v>0</v>
      </c>
      <c r="H168" s="7" t="s">
        <v>0</v>
      </c>
      <c r="I168" s="7" t="s">
        <v>0</v>
      </c>
      <c r="J168" s="7" t="s">
        <v>0</v>
      </c>
      <c r="K168" s="7" t="s">
        <v>0</v>
      </c>
      <c r="L168" s="7" t="s">
        <v>0</v>
      </c>
      <c r="M168" s="7" t="s">
        <v>0</v>
      </c>
      <c r="N168" s="7" t="s">
        <v>0</v>
      </c>
      <c r="O168" s="7" t="s">
        <v>0</v>
      </c>
      <c r="P168" s="7" t="s">
        <v>0</v>
      </c>
      <c r="Q168" s="7" t="s">
        <v>0</v>
      </c>
      <c r="R168" s="7" t="s">
        <v>0</v>
      </c>
      <c r="S168" s="7" t="s">
        <v>0</v>
      </c>
      <c r="T168" s="7" t="s">
        <v>0</v>
      </c>
      <c r="U168" s="7" t="s">
        <v>0</v>
      </c>
      <c r="V168" s="7" t="s">
        <v>0</v>
      </c>
      <c r="W168" s="16" t="str">
        <f>HYPERLINK("http://www.aruplab.com/Testing-Information/resources/HotLines/HotLineDocs/Aug2023QHL/3016598.pdf","H")</f>
        <v>H</v>
      </c>
      <c r="X168" s="16" t="str">
        <f>HYPERLINK("http://www.aruplab.com/Testing-Information/resources/HotLines/TDMix/Aug2023QHL/3016598.xlsx","T")</f>
        <v>T</v>
      </c>
      <c r="Y168" s="16" t="str">
        <f>HYPERLINK("http://www.aruplab.com/Testing-Information/resources/HotLines/Sample_Reports/Aug2023QHL/3016598_Body Fluid, Creatinine_BF CRT.pdf","E")</f>
        <v>E</v>
      </c>
      <c r="Z168" s="16" t="str">
        <f>HYPERLINK("https://connect.aruplab.com/Pricing/TestPrice/3016598/D08212023","P")</f>
        <v>P</v>
      </c>
      <c r="AA168" s="8">
        <v>45159</v>
      </c>
    </row>
    <row r="169" spans="1:27" ht="30">
      <c r="A169" s="6" t="s">
        <v>513</v>
      </c>
      <c r="B169" s="6" t="s">
        <v>514</v>
      </c>
      <c r="C169" s="6" t="s">
        <v>514</v>
      </c>
      <c r="D169" s="7" t="s">
        <v>35</v>
      </c>
      <c r="E169" s="7" t="s">
        <v>0</v>
      </c>
      <c r="F169" s="7" t="s">
        <v>0</v>
      </c>
      <c r="G169" s="7" t="s">
        <v>0</v>
      </c>
      <c r="H169" s="7" t="s">
        <v>0</v>
      </c>
      <c r="I169" s="7" t="s">
        <v>0</v>
      </c>
      <c r="J169" s="7" t="s">
        <v>0</v>
      </c>
      <c r="K169" s="7" t="s">
        <v>0</v>
      </c>
      <c r="L169" s="7" t="s">
        <v>0</v>
      </c>
      <c r="M169" s="7" t="s">
        <v>0</v>
      </c>
      <c r="N169" s="7" t="s">
        <v>0</v>
      </c>
      <c r="O169" s="7" t="s">
        <v>0</v>
      </c>
      <c r="P169" s="7" t="s">
        <v>0</v>
      </c>
      <c r="Q169" s="7" t="s">
        <v>0</v>
      </c>
      <c r="R169" s="7" t="s">
        <v>0</v>
      </c>
      <c r="S169" s="7" t="s">
        <v>0</v>
      </c>
      <c r="T169" s="7" t="s">
        <v>0</v>
      </c>
      <c r="U169" s="7" t="s">
        <v>0</v>
      </c>
      <c r="V169" s="7" t="s">
        <v>0</v>
      </c>
      <c r="W169" s="16" t="str">
        <f>HYPERLINK("http://www.aruplab.com/Testing-Information/resources/HotLines/HotLineDocs/Aug2023QHL/3016604.pdf","H")</f>
        <v>H</v>
      </c>
      <c r="X169" s="16" t="str">
        <f>HYPERLINK("http://www.aruplab.com/Testing-Information/resources/HotLines/TDMix/Aug2023QHL/3016604.xlsx","T")</f>
        <v>T</v>
      </c>
      <c r="Y169" s="16" t="str">
        <f>HYPERLINK("http://www.aruplab.com/Testing-Information/resources/HotLines/Sample_Reports/Aug2023QHL/3016604_CSF, Total Protein_CSFTP.pdf","E")</f>
        <v>E</v>
      </c>
      <c r="Z169" s="16" t="str">
        <f>HYPERLINK("https://connect.aruplab.com/Pricing/TestPrice/3016604/D08212023","P")</f>
        <v>P</v>
      </c>
      <c r="AA169" s="8">
        <v>45159</v>
      </c>
    </row>
    <row r="170" spans="1:27">
      <c r="A170" s="6" t="s">
        <v>515</v>
      </c>
      <c r="B170" s="6" t="s">
        <v>516</v>
      </c>
      <c r="C170" s="6" t="s">
        <v>517</v>
      </c>
      <c r="D170" s="7" t="s">
        <v>35</v>
      </c>
      <c r="E170" s="7" t="s">
        <v>0</v>
      </c>
      <c r="F170" s="7" t="s">
        <v>0</v>
      </c>
      <c r="G170" s="7" t="s">
        <v>0</v>
      </c>
      <c r="H170" s="7" t="s">
        <v>0</v>
      </c>
      <c r="I170" s="7" t="s">
        <v>0</v>
      </c>
      <c r="J170" s="7" t="s">
        <v>0</v>
      </c>
      <c r="K170" s="7" t="s">
        <v>0</v>
      </c>
      <c r="L170" s="7" t="s">
        <v>0</v>
      </c>
      <c r="M170" s="7" t="s">
        <v>0</v>
      </c>
      <c r="N170" s="7" t="s">
        <v>0</v>
      </c>
      <c r="O170" s="7" t="s">
        <v>0</v>
      </c>
      <c r="P170" s="7" t="s">
        <v>0</v>
      </c>
      <c r="Q170" s="7" t="s">
        <v>0</v>
      </c>
      <c r="R170" s="7" t="s">
        <v>0</v>
      </c>
      <c r="S170" s="7" t="s">
        <v>0</v>
      </c>
      <c r="T170" s="7" t="s">
        <v>0</v>
      </c>
      <c r="U170" s="7" t="s">
        <v>0</v>
      </c>
      <c r="V170" s="7" t="s">
        <v>0</v>
      </c>
      <c r="W170" s="16" t="str">
        <f>HYPERLINK("http://www.aruplab.com/Testing-Information/resources/HotLines/HotLineDocs/Aug2023QHL/3016614.pdf","H")</f>
        <v>H</v>
      </c>
      <c r="X170" s="16" t="str">
        <f>HYPERLINK("http://www.aruplab.com/Testing-Information/resources/HotLines/TDMix/Aug2023QHL/3016614.xlsx","T")</f>
        <v>T</v>
      </c>
      <c r="Y170" s="16" t="str">
        <f>HYPERLINK("http://www.aruplab.com/Testing-Information/resources/HotLines/Sample_Reports/Aug2023QHL/3016614_CSF, Glucose_GLU-CF.pdf","E")</f>
        <v>E</v>
      </c>
      <c r="Z170" s="16" t="str">
        <f>HYPERLINK("https://connect.aruplab.com/Pricing/TestPrice/3016614/D08212023","P")</f>
        <v>P</v>
      </c>
      <c r="AA170" s="8">
        <v>45159</v>
      </c>
    </row>
    <row r="171" spans="1:27" ht="45">
      <c r="A171" s="6" t="s">
        <v>518</v>
      </c>
      <c r="B171" s="6" t="s">
        <v>519</v>
      </c>
      <c r="C171" s="6" t="s">
        <v>520</v>
      </c>
      <c r="D171" s="7" t="s">
        <v>35</v>
      </c>
      <c r="E171" s="7" t="s">
        <v>0</v>
      </c>
      <c r="F171" s="7" t="s">
        <v>0</v>
      </c>
      <c r="G171" s="7" t="s">
        <v>0</v>
      </c>
      <c r="H171" s="7" t="s">
        <v>0</v>
      </c>
      <c r="I171" s="7" t="s">
        <v>0</v>
      </c>
      <c r="J171" s="7" t="s">
        <v>0</v>
      </c>
      <c r="K171" s="7" t="s">
        <v>0</v>
      </c>
      <c r="L171" s="7" t="s">
        <v>0</v>
      </c>
      <c r="M171" s="7" t="s">
        <v>0</v>
      </c>
      <c r="N171" s="7" t="s">
        <v>0</v>
      </c>
      <c r="O171" s="7" t="s">
        <v>0</v>
      </c>
      <c r="P171" s="7" t="s">
        <v>0</v>
      </c>
      <c r="Q171" s="7" t="s">
        <v>0</v>
      </c>
      <c r="R171" s="7" t="s">
        <v>0</v>
      </c>
      <c r="S171" s="7" t="s">
        <v>0</v>
      </c>
      <c r="T171" s="7" t="s">
        <v>0</v>
      </c>
      <c r="U171" s="7" t="s">
        <v>0</v>
      </c>
      <c r="V171" s="7" t="s">
        <v>0</v>
      </c>
      <c r="W171" s="16" t="str">
        <f>HYPERLINK("http://www.aruplab.com/Testing-Information/resources/HotLines/HotLineDocs/Aug2023QHL/3016616.pdf","H")</f>
        <v>H</v>
      </c>
      <c r="X171" s="16" t="str">
        <f>HYPERLINK("http://www.aruplab.com/Testing-Information/resources/HotLines/TDMix/Aug2023QHL/3016616.xlsx","T")</f>
        <v>T</v>
      </c>
      <c r="Y171" s="16" t="str">
        <f>HYPERLINK("http://www.aruplab.com/Testing-Information/resources/HotLines/Sample_Reports/Aug2023QHL/3016616_Hemoglobin S Evaluation with Reflex to RBC Solubility_SCKLHB.pdf","E")</f>
        <v>E</v>
      </c>
      <c r="Z171" s="16" t="str">
        <f>HYPERLINK("https://connect.aruplab.com/Pricing/TestPrice/3016616/D08212023","P")</f>
        <v>P</v>
      </c>
      <c r="AA171" s="8">
        <v>45159</v>
      </c>
    </row>
    <row r="172" spans="1:27">
      <c r="A172" s="6" t="s">
        <v>521</v>
      </c>
      <c r="B172" s="6" t="s">
        <v>522</v>
      </c>
      <c r="C172" s="6" t="s">
        <v>523</v>
      </c>
      <c r="D172" s="7" t="s">
        <v>35</v>
      </c>
      <c r="E172" s="7" t="s">
        <v>0</v>
      </c>
      <c r="F172" s="7" t="s">
        <v>0</v>
      </c>
      <c r="G172" s="7" t="s">
        <v>0</v>
      </c>
      <c r="H172" s="7" t="s">
        <v>0</v>
      </c>
      <c r="I172" s="7" t="s">
        <v>0</v>
      </c>
      <c r="J172" s="7" t="s">
        <v>0</v>
      </c>
      <c r="K172" s="7" t="s">
        <v>0</v>
      </c>
      <c r="L172" s="7" t="s">
        <v>0</v>
      </c>
      <c r="M172" s="7" t="s">
        <v>0</v>
      </c>
      <c r="N172" s="7" t="s">
        <v>0</v>
      </c>
      <c r="O172" s="7" t="s">
        <v>0</v>
      </c>
      <c r="P172" s="7" t="s">
        <v>0</v>
      </c>
      <c r="Q172" s="7" t="s">
        <v>0</v>
      </c>
      <c r="R172" s="7" t="s">
        <v>0</v>
      </c>
      <c r="S172" s="7" t="s">
        <v>0</v>
      </c>
      <c r="T172" s="7" t="s">
        <v>0</v>
      </c>
      <c r="U172" s="7" t="s">
        <v>0</v>
      </c>
      <c r="V172" s="7" t="s">
        <v>0</v>
      </c>
      <c r="W172" s="16" t="str">
        <f>HYPERLINK("http://www.aruplab.com/Testing-Information/resources/HotLines/HotLineDocs/Aug2023QHL/3016631.pdf","H")</f>
        <v>H</v>
      </c>
      <c r="X172" s="16" t="str">
        <f>HYPERLINK("http://www.aruplab.com/Testing-Information/resources/HotLines/TDMix/Aug2023QHL/3016631.xlsx","T")</f>
        <v>T</v>
      </c>
      <c r="Y172" s="16" t="str">
        <f>HYPERLINK("http://www.aruplab.com/Testing-Information/resources/HotLines/Sample_Reports/Aug2023QHL/3016631_HBV Exposure Panel_HBV EXP.pdf","E")</f>
        <v>E</v>
      </c>
      <c r="Z172" s="16" t="str">
        <f>HYPERLINK("https://connect.aruplab.com/Pricing/TestPrice/3016631/D08212023","P")</f>
        <v>P</v>
      </c>
      <c r="AA172" s="8">
        <v>45103</v>
      </c>
    </row>
    <row r="173" spans="1:27" ht="45">
      <c r="A173" s="6" t="s">
        <v>524</v>
      </c>
      <c r="B173" s="6" t="s">
        <v>525</v>
      </c>
      <c r="C173" s="6" t="s">
        <v>526</v>
      </c>
      <c r="D173" s="7" t="s">
        <v>35</v>
      </c>
      <c r="E173" s="7" t="s">
        <v>0</v>
      </c>
      <c r="F173" s="7" t="s">
        <v>0</v>
      </c>
      <c r="G173" s="7" t="s">
        <v>0</v>
      </c>
      <c r="H173" s="7" t="s">
        <v>0</v>
      </c>
      <c r="I173" s="7" t="s">
        <v>0</v>
      </c>
      <c r="J173" s="7" t="s">
        <v>0</v>
      </c>
      <c r="K173" s="7" t="s">
        <v>0</v>
      </c>
      <c r="L173" s="7" t="s">
        <v>0</v>
      </c>
      <c r="M173" s="7" t="s">
        <v>0</v>
      </c>
      <c r="N173" s="7" t="s">
        <v>0</v>
      </c>
      <c r="O173" s="7" t="s">
        <v>0</v>
      </c>
      <c r="P173" s="7" t="s">
        <v>0</v>
      </c>
      <c r="Q173" s="7" t="s">
        <v>0</v>
      </c>
      <c r="R173" s="7" t="s">
        <v>0</v>
      </c>
      <c r="S173" s="7" t="s">
        <v>0</v>
      </c>
      <c r="T173" s="7" t="s">
        <v>0</v>
      </c>
      <c r="U173" s="7" t="s">
        <v>0</v>
      </c>
      <c r="V173" s="7" t="s">
        <v>0</v>
      </c>
      <c r="W173" s="16" t="str">
        <f>HYPERLINK("http://www.aruplab.com/Testing-Information/resources/HotLines/HotLineDocs/Aug2023QHL/3016632.pdf","H")</f>
        <v>H</v>
      </c>
      <c r="X173" s="16" t="str">
        <f>HYPERLINK("http://www.aruplab.com/Testing-Information/resources/HotLines/TDMix/Aug2023QHL/3016632.xlsx","T")</f>
        <v>T</v>
      </c>
      <c r="Y173" s="7" t="s">
        <v>0</v>
      </c>
      <c r="Z173" s="16" t="str">
        <f>HYPERLINK("https://connect.aruplab.com/Pricing/TestPrice/3016632/D08212023","P")</f>
        <v>P</v>
      </c>
      <c r="AA173" s="8">
        <v>45159</v>
      </c>
    </row>
    <row r="174" spans="1:27" ht="30">
      <c r="A174" s="6" t="s">
        <v>527</v>
      </c>
      <c r="B174" s="6" t="s">
        <v>528</v>
      </c>
      <c r="C174" s="6" t="s">
        <v>529</v>
      </c>
      <c r="D174" s="7" t="s">
        <v>35</v>
      </c>
      <c r="E174" s="7" t="s">
        <v>0</v>
      </c>
      <c r="F174" s="7" t="s">
        <v>0</v>
      </c>
      <c r="G174" s="7" t="s">
        <v>0</v>
      </c>
      <c r="H174" s="7" t="s">
        <v>0</v>
      </c>
      <c r="I174" s="7" t="s">
        <v>0</v>
      </c>
      <c r="J174" s="7" t="s">
        <v>0</v>
      </c>
      <c r="K174" s="7" t="s">
        <v>0</v>
      </c>
      <c r="L174" s="7" t="s">
        <v>0</v>
      </c>
      <c r="M174" s="7" t="s">
        <v>0</v>
      </c>
      <c r="N174" s="7" t="s">
        <v>0</v>
      </c>
      <c r="O174" s="7" t="s">
        <v>0</v>
      </c>
      <c r="P174" s="7" t="s">
        <v>0</v>
      </c>
      <c r="Q174" s="7" t="s">
        <v>0</v>
      </c>
      <c r="R174" s="7" t="s">
        <v>0</v>
      </c>
      <c r="S174" s="7" t="s">
        <v>0</v>
      </c>
      <c r="T174" s="7" t="s">
        <v>0</v>
      </c>
      <c r="U174" s="7" t="s">
        <v>0</v>
      </c>
      <c r="V174" s="7" t="s">
        <v>0</v>
      </c>
      <c r="W174" s="16" t="str">
        <f>HYPERLINK("http://www.aruplab.com/Testing-Information/resources/HotLines/HotLineDocs/Aug2023QHL/3016634.pdf","H")</f>
        <v>H</v>
      </c>
      <c r="X174" s="16" t="str">
        <f>HYPERLINK("http://www.aruplab.com/Testing-Information/resources/HotLines/TDMix/Aug2023QHL/3016634.xlsx","T")</f>
        <v>T</v>
      </c>
      <c r="Y174" s="7" t="s">
        <v>0</v>
      </c>
      <c r="Z174" s="16" t="str">
        <f>HYPERLINK("https://connect.aruplab.com/Pricing/TestPrice/3016634/D08212023","P")</f>
        <v>P</v>
      </c>
      <c r="AA174" s="8">
        <v>45159</v>
      </c>
    </row>
    <row r="175" spans="1:27" ht="75">
      <c r="A175" s="6" t="s">
        <v>530</v>
      </c>
      <c r="B175" s="6" t="s">
        <v>531</v>
      </c>
      <c r="C175" s="6" t="s">
        <v>532</v>
      </c>
      <c r="D175" s="7" t="s">
        <v>35</v>
      </c>
      <c r="E175" s="7" t="s">
        <v>0</v>
      </c>
      <c r="F175" s="7" t="s">
        <v>0</v>
      </c>
      <c r="G175" s="7" t="s">
        <v>0</v>
      </c>
      <c r="H175" s="7" t="s">
        <v>0</v>
      </c>
      <c r="I175" s="7" t="s">
        <v>0</v>
      </c>
      <c r="J175" s="7" t="s">
        <v>0</v>
      </c>
      <c r="K175" s="7" t="s">
        <v>0</v>
      </c>
      <c r="L175" s="7" t="s">
        <v>0</v>
      </c>
      <c r="M175" s="7" t="s">
        <v>0</v>
      </c>
      <c r="N175" s="7" t="s">
        <v>0</v>
      </c>
      <c r="O175" s="7" t="s">
        <v>0</v>
      </c>
      <c r="P175" s="7" t="s">
        <v>0</v>
      </c>
      <c r="Q175" s="7" t="s">
        <v>0</v>
      </c>
      <c r="R175" s="7" t="s">
        <v>0</v>
      </c>
      <c r="S175" s="7" t="s">
        <v>0</v>
      </c>
      <c r="T175" s="7" t="s">
        <v>0</v>
      </c>
      <c r="U175" s="7" t="s">
        <v>0</v>
      </c>
      <c r="V175" s="7" t="s">
        <v>0</v>
      </c>
      <c r="W175" s="16" t="str">
        <f>HYPERLINK("http://www.aruplab.com/Testing-Information/resources/HotLines/HotLineDocs/Aug2023QHL/3016635.pdf","H")</f>
        <v>H</v>
      </c>
      <c r="X175" s="16" t="str">
        <f>HYPERLINK("http://www.aruplab.com/Testing-Information/resources/HotLines/TDMix/Aug2023QHL/3016635.xlsx","T")</f>
        <v>T</v>
      </c>
      <c r="Y175" s="7" t="s">
        <v>0</v>
      </c>
      <c r="Z175" s="16" t="str">
        <f>HYPERLINK("https://connect.aruplab.com/Pricing/TestPrice/3016635/D08212023","P")</f>
        <v>P</v>
      </c>
      <c r="AA175" s="8">
        <v>45159</v>
      </c>
    </row>
    <row r="176" spans="1:27" ht="30">
      <c r="A176" s="6" t="s">
        <v>533</v>
      </c>
      <c r="B176" s="6" t="s">
        <v>534</v>
      </c>
      <c r="C176" s="6" t="s">
        <v>535</v>
      </c>
      <c r="D176" s="7" t="s">
        <v>35</v>
      </c>
      <c r="E176" s="7" t="s">
        <v>0</v>
      </c>
      <c r="F176" s="7" t="s">
        <v>0</v>
      </c>
      <c r="G176" s="7" t="s">
        <v>0</v>
      </c>
      <c r="H176" s="7" t="s">
        <v>0</v>
      </c>
      <c r="I176" s="7" t="s">
        <v>0</v>
      </c>
      <c r="J176" s="7" t="s">
        <v>0</v>
      </c>
      <c r="K176" s="7" t="s">
        <v>0</v>
      </c>
      <c r="L176" s="7" t="s">
        <v>0</v>
      </c>
      <c r="M176" s="7" t="s">
        <v>0</v>
      </c>
      <c r="N176" s="7" t="s">
        <v>0</v>
      </c>
      <c r="O176" s="7" t="s">
        <v>0</v>
      </c>
      <c r="P176" s="7" t="s">
        <v>0</v>
      </c>
      <c r="Q176" s="7" t="s">
        <v>0</v>
      </c>
      <c r="R176" s="7" t="s">
        <v>0</v>
      </c>
      <c r="S176" s="7" t="s">
        <v>0</v>
      </c>
      <c r="T176" s="7" t="s">
        <v>0</v>
      </c>
      <c r="U176" s="7" t="s">
        <v>0</v>
      </c>
      <c r="V176" s="7" t="s">
        <v>0</v>
      </c>
      <c r="W176" s="16" t="str">
        <f>HYPERLINK("http://www.aruplab.com/Testing-Information/resources/HotLines/HotLineDocs/Aug2023QHL/3016639.pdf","H")</f>
        <v>H</v>
      </c>
      <c r="X176" s="16" t="str">
        <f>HYPERLINK("http://www.aruplab.com/Testing-Information/resources/HotLines/TDMix/Aug2023QHL/3016639.xlsx","T")</f>
        <v>T</v>
      </c>
      <c r="Y176" s="7" t="s">
        <v>0</v>
      </c>
      <c r="Z176" s="16" t="str">
        <f>HYPERLINK("https://connect.aruplab.com/Pricing/TestPrice/3016639/D08212023","P")</f>
        <v>P</v>
      </c>
      <c r="AA176" s="8">
        <v>45159</v>
      </c>
    </row>
    <row r="177" spans="1:27" ht="30">
      <c r="A177" s="6" t="s">
        <v>536</v>
      </c>
      <c r="B177" s="6" t="s">
        <v>537</v>
      </c>
      <c r="C177" s="6" t="s">
        <v>538</v>
      </c>
      <c r="D177" s="7" t="s">
        <v>35</v>
      </c>
      <c r="E177" s="7" t="s">
        <v>0</v>
      </c>
      <c r="F177" s="7" t="s">
        <v>0</v>
      </c>
      <c r="G177" s="7" t="s">
        <v>0</v>
      </c>
      <c r="H177" s="7" t="s">
        <v>0</v>
      </c>
      <c r="I177" s="7" t="s">
        <v>0</v>
      </c>
      <c r="J177" s="7" t="s">
        <v>0</v>
      </c>
      <c r="K177" s="7" t="s">
        <v>0</v>
      </c>
      <c r="L177" s="7" t="s">
        <v>0</v>
      </c>
      <c r="M177" s="7" t="s">
        <v>0</v>
      </c>
      <c r="N177" s="7" t="s">
        <v>0</v>
      </c>
      <c r="O177" s="7" t="s">
        <v>0</v>
      </c>
      <c r="P177" s="7" t="s">
        <v>0</v>
      </c>
      <c r="Q177" s="7" t="s">
        <v>0</v>
      </c>
      <c r="R177" s="7" t="s">
        <v>0</v>
      </c>
      <c r="S177" s="7" t="s">
        <v>0</v>
      </c>
      <c r="T177" s="7" t="s">
        <v>0</v>
      </c>
      <c r="U177" s="7" t="s">
        <v>0</v>
      </c>
      <c r="V177" s="7" t="s">
        <v>0</v>
      </c>
      <c r="W177" s="16" t="str">
        <f>HYPERLINK("http://www.aruplab.com/Testing-Information/resources/HotLines/HotLineDocs/Aug2023QHL/3016640.pdf","H")</f>
        <v>H</v>
      </c>
      <c r="X177" s="16" t="str">
        <f>HYPERLINK("http://www.aruplab.com/Testing-Information/resources/HotLines/TDMix/Aug2023QHL/3016640.xlsx","T")</f>
        <v>T</v>
      </c>
      <c r="Y177" s="7" t="s">
        <v>0</v>
      </c>
      <c r="Z177" s="16" t="str">
        <f>HYPERLINK("https://connect.aruplab.com/Pricing/TestPrice/3016640/D08212023","P")</f>
        <v>P</v>
      </c>
      <c r="AA177" s="8">
        <v>45159</v>
      </c>
    </row>
    <row r="178" spans="1:27">
      <c r="A178" s="6" t="s">
        <v>539</v>
      </c>
      <c r="B178" s="6" t="s">
        <v>540</v>
      </c>
      <c r="C178" s="6" t="s">
        <v>541</v>
      </c>
      <c r="D178" s="7" t="s">
        <v>35</v>
      </c>
      <c r="E178" s="7" t="s">
        <v>0</v>
      </c>
      <c r="F178" s="7" t="s">
        <v>0</v>
      </c>
      <c r="G178" s="7" t="s">
        <v>0</v>
      </c>
      <c r="H178" s="7" t="s">
        <v>0</v>
      </c>
      <c r="I178" s="7" t="s">
        <v>0</v>
      </c>
      <c r="J178" s="7" t="s">
        <v>0</v>
      </c>
      <c r="K178" s="7" t="s">
        <v>0</v>
      </c>
      <c r="L178" s="7" t="s">
        <v>0</v>
      </c>
      <c r="M178" s="7" t="s">
        <v>0</v>
      </c>
      <c r="N178" s="7" t="s">
        <v>0</v>
      </c>
      <c r="O178" s="7" t="s">
        <v>0</v>
      </c>
      <c r="P178" s="7" t="s">
        <v>0</v>
      </c>
      <c r="Q178" s="7" t="s">
        <v>0</v>
      </c>
      <c r="R178" s="7" t="s">
        <v>0</v>
      </c>
      <c r="S178" s="7" t="s">
        <v>0</v>
      </c>
      <c r="T178" s="7" t="s">
        <v>0</v>
      </c>
      <c r="U178" s="7" t="s">
        <v>0</v>
      </c>
      <c r="V178" s="7" t="s">
        <v>0</v>
      </c>
      <c r="W178" s="16" t="str">
        <f>HYPERLINK("http://www.aruplab.com/Testing-Information/resources/HotLines/HotLineDocs/Aug2023QHL/3016646.pdf","H")</f>
        <v>H</v>
      </c>
      <c r="X178" s="16" t="str">
        <f>HYPERLINK("http://www.aruplab.com/Testing-Information/resources/HotLines/TDMix/Aug2023QHL/3016646.xlsx","T")</f>
        <v>T</v>
      </c>
      <c r="Y178" s="16" t="str">
        <f>HYPERLINK("http://www.aruplab.com/Testing-Information/resources/HotLines/Sample_Reports/Aug2023QHL/3016646_Urine, Amylase_AMY URN.pdf","E")</f>
        <v>E</v>
      </c>
      <c r="Z178" s="16" t="str">
        <f>HYPERLINK("https://connect.aruplab.com/Pricing/TestPrice/3016646/D08212023","P")</f>
        <v>P</v>
      </c>
      <c r="AA178" s="8">
        <v>45159</v>
      </c>
    </row>
    <row r="179" spans="1:27">
      <c r="A179" s="6" t="s">
        <v>542</v>
      </c>
      <c r="B179" s="6" t="s">
        <v>543</v>
      </c>
      <c r="C179" s="6" t="s">
        <v>544</v>
      </c>
      <c r="D179" s="7" t="s">
        <v>35</v>
      </c>
      <c r="E179" s="7" t="s">
        <v>0</v>
      </c>
      <c r="F179" s="7" t="s">
        <v>0</v>
      </c>
      <c r="G179" s="7" t="s">
        <v>0</v>
      </c>
      <c r="H179" s="7" t="s">
        <v>0</v>
      </c>
      <c r="I179" s="7" t="s">
        <v>0</v>
      </c>
      <c r="J179" s="7" t="s">
        <v>0</v>
      </c>
      <c r="K179" s="7" t="s">
        <v>0</v>
      </c>
      <c r="L179" s="7" t="s">
        <v>0</v>
      </c>
      <c r="M179" s="7" t="s">
        <v>0</v>
      </c>
      <c r="N179" s="7" t="s">
        <v>0</v>
      </c>
      <c r="O179" s="7" t="s">
        <v>0</v>
      </c>
      <c r="P179" s="7" t="s">
        <v>0</v>
      </c>
      <c r="Q179" s="7" t="s">
        <v>0</v>
      </c>
      <c r="R179" s="7" t="s">
        <v>0</v>
      </c>
      <c r="S179" s="7" t="s">
        <v>0</v>
      </c>
      <c r="T179" s="7" t="s">
        <v>0</v>
      </c>
      <c r="U179" s="7" t="s">
        <v>0</v>
      </c>
      <c r="V179" s="7" t="s">
        <v>0</v>
      </c>
      <c r="W179" s="16" t="str">
        <f>HYPERLINK("http://www.aruplab.com/Testing-Information/resources/HotLines/HotLineDocs/Aug2023QHL/3016649.pdf","H")</f>
        <v>H</v>
      </c>
      <c r="X179" s="16" t="str">
        <f>HYPERLINK("http://www.aruplab.com/Testing-Information/resources/HotLines/TDMix/Aug2023QHL/3016649.xlsx","T")</f>
        <v>T</v>
      </c>
      <c r="Y179" s="16" t="str">
        <f>HYPERLINK("http://www.aruplab.com/Testing-Information/resources/HotLines/Sample_Reports/Aug2023QHL/3016649_Urine, Glucose_URN GLU.pdf","E")</f>
        <v>E</v>
      </c>
      <c r="Z179" s="16" t="str">
        <f>HYPERLINK("https://connect.aruplab.com/Pricing/TestPrice/3016649/D08212023","P")</f>
        <v>P</v>
      </c>
      <c r="AA179" s="8">
        <v>45159</v>
      </c>
    </row>
    <row r="180" spans="1:27" ht="45">
      <c r="A180" s="6" t="s">
        <v>545</v>
      </c>
      <c r="B180" s="6" t="s">
        <v>546</v>
      </c>
      <c r="C180" s="6" t="s">
        <v>547</v>
      </c>
      <c r="D180" s="7" t="s">
        <v>35</v>
      </c>
      <c r="E180" s="7" t="s">
        <v>0</v>
      </c>
      <c r="F180" s="7" t="s">
        <v>0</v>
      </c>
      <c r="G180" s="7" t="s">
        <v>0</v>
      </c>
      <c r="H180" s="7" t="s">
        <v>0</v>
      </c>
      <c r="I180" s="7" t="s">
        <v>0</v>
      </c>
      <c r="J180" s="7" t="s">
        <v>0</v>
      </c>
      <c r="K180" s="7" t="s">
        <v>0</v>
      </c>
      <c r="L180" s="7" t="s">
        <v>0</v>
      </c>
      <c r="M180" s="7" t="s">
        <v>0</v>
      </c>
      <c r="N180" s="7" t="s">
        <v>0</v>
      </c>
      <c r="O180" s="7" t="s">
        <v>0</v>
      </c>
      <c r="P180" s="7" t="s">
        <v>0</v>
      </c>
      <c r="Q180" s="7" t="s">
        <v>0</v>
      </c>
      <c r="R180" s="7" t="s">
        <v>0</v>
      </c>
      <c r="S180" s="7" t="s">
        <v>0</v>
      </c>
      <c r="T180" s="7" t="s">
        <v>0</v>
      </c>
      <c r="U180" s="7" t="s">
        <v>0</v>
      </c>
      <c r="V180" s="7" t="s">
        <v>0</v>
      </c>
      <c r="W180" s="16" t="str">
        <f>HYPERLINK("http://www.aruplab.com/Testing-Information/resources/HotLines/HotLineDocs/Aug2023QHL/3016654.pdf","H")</f>
        <v>H</v>
      </c>
      <c r="X180" s="16" t="str">
        <f>HYPERLINK("http://www.aruplab.com/Testing-Information/resources/HotLines/TDMix/Aug2023QHL/3016654.xlsx","T")</f>
        <v>T</v>
      </c>
      <c r="Y180" s="16" t="str">
        <f>HYPERLINK("http://www.aruplab.com/Testing-Information/resources/HotLines/Sample_Reports/Aug2023QHL/3016654_Acute Myeloid Leukemia Panel by FISH_FISHAML.pdf","E")</f>
        <v>E</v>
      </c>
      <c r="Z180" s="16" t="str">
        <f>HYPERLINK("https://connect.aruplab.com/Pricing/TestPrice/3016654/D08212023","P")</f>
        <v>P</v>
      </c>
      <c r="AA180" s="8">
        <v>45159</v>
      </c>
    </row>
    <row r="181" spans="1:27" ht="45">
      <c r="A181" s="6" t="s">
        <v>548</v>
      </c>
      <c r="B181" s="6" t="s">
        <v>549</v>
      </c>
      <c r="C181" s="6" t="s">
        <v>550</v>
      </c>
      <c r="D181" s="7" t="s">
        <v>35</v>
      </c>
      <c r="E181" s="7" t="s">
        <v>0</v>
      </c>
      <c r="F181" s="7" t="s">
        <v>0</v>
      </c>
      <c r="G181" s="7" t="s">
        <v>0</v>
      </c>
      <c r="H181" s="7" t="s">
        <v>0</v>
      </c>
      <c r="I181" s="7" t="s">
        <v>0</v>
      </c>
      <c r="J181" s="7" t="s">
        <v>0</v>
      </c>
      <c r="K181" s="7" t="s">
        <v>0</v>
      </c>
      <c r="L181" s="7" t="s">
        <v>0</v>
      </c>
      <c r="M181" s="7" t="s">
        <v>0</v>
      </c>
      <c r="N181" s="7" t="s">
        <v>0</v>
      </c>
      <c r="O181" s="7" t="s">
        <v>0</v>
      </c>
      <c r="P181" s="7" t="s">
        <v>0</v>
      </c>
      <c r="Q181" s="7" t="s">
        <v>0</v>
      </c>
      <c r="R181" s="7" t="s">
        <v>0</v>
      </c>
      <c r="S181" s="7" t="s">
        <v>0</v>
      </c>
      <c r="T181" s="7" t="s">
        <v>0</v>
      </c>
      <c r="U181" s="7" t="s">
        <v>0</v>
      </c>
      <c r="V181" s="7" t="s">
        <v>0</v>
      </c>
      <c r="W181" s="16" t="str">
        <f>HYPERLINK("http://www.aruplab.com/Testing-Information/resources/HotLines/HotLineDocs/Aug2023QHL/3016673.pdf","H")</f>
        <v>H</v>
      </c>
      <c r="X181" s="16" t="str">
        <f>HYPERLINK("http://www.aruplab.com/Testing-Information/resources/HotLines/TDMix/Aug2023QHL/3016673.xlsx","T")</f>
        <v>T</v>
      </c>
      <c r="Y181" s="7" t="s">
        <v>0</v>
      </c>
      <c r="Z181" s="16" t="str">
        <f>HYPERLINK("https://connect.aruplab.com/Pricing/TestPrice/3016673/D08212023","P")</f>
        <v>P</v>
      </c>
      <c r="AA181" s="8">
        <v>45159</v>
      </c>
    </row>
    <row r="182" spans="1:27" ht="30">
      <c r="A182" s="6" t="s">
        <v>551</v>
      </c>
      <c r="B182" s="6" t="s">
        <v>552</v>
      </c>
      <c r="C182" s="6" t="s">
        <v>553</v>
      </c>
      <c r="D182" s="7" t="s">
        <v>35</v>
      </c>
      <c r="E182" s="7" t="s">
        <v>0</v>
      </c>
      <c r="F182" s="7" t="s">
        <v>0</v>
      </c>
      <c r="G182" s="7" t="s">
        <v>0</v>
      </c>
      <c r="H182" s="7" t="s">
        <v>0</v>
      </c>
      <c r="I182" s="7" t="s">
        <v>0</v>
      </c>
      <c r="J182" s="7" t="s">
        <v>0</v>
      </c>
      <c r="K182" s="7" t="s">
        <v>0</v>
      </c>
      <c r="L182" s="7" t="s">
        <v>0</v>
      </c>
      <c r="M182" s="7" t="s">
        <v>0</v>
      </c>
      <c r="N182" s="7" t="s">
        <v>0</v>
      </c>
      <c r="O182" s="7" t="s">
        <v>0</v>
      </c>
      <c r="P182" s="7" t="s">
        <v>0</v>
      </c>
      <c r="Q182" s="7" t="s">
        <v>0</v>
      </c>
      <c r="R182" s="7" t="s">
        <v>0</v>
      </c>
      <c r="S182" s="7" t="s">
        <v>0</v>
      </c>
      <c r="T182" s="7" t="s">
        <v>0</v>
      </c>
      <c r="U182" s="7" t="s">
        <v>0</v>
      </c>
      <c r="V182" s="7" t="s">
        <v>0</v>
      </c>
      <c r="W182" s="16" t="str">
        <f>HYPERLINK("http://www.aruplab.com/Testing-Information/resources/HotLines/HotLineDocs/Aug2023QHL/3016676.pdf","H")</f>
        <v>H</v>
      </c>
      <c r="X182" s="16" t="str">
        <f>HYPERLINK("http://www.aruplab.com/Testing-Information/resources/HotLines/TDMix/Aug2023QHL/3016676.xlsx","T")</f>
        <v>T</v>
      </c>
      <c r="Y182" s="7" t="s">
        <v>0</v>
      </c>
      <c r="Z182" s="16" t="str">
        <f>HYPERLINK("https://connect.aruplab.com/Pricing/TestPrice/3016676/D08212023","P")</f>
        <v>P</v>
      </c>
      <c r="AA182" s="8">
        <v>45159</v>
      </c>
    </row>
    <row r="183" spans="1:27" ht="30">
      <c r="A183" s="6" t="s">
        <v>554</v>
      </c>
      <c r="B183" s="6" t="s">
        <v>555</v>
      </c>
      <c r="C183" s="6" t="s">
        <v>556</v>
      </c>
      <c r="D183" s="7" t="s">
        <v>35</v>
      </c>
      <c r="E183" s="7" t="s">
        <v>0</v>
      </c>
      <c r="F183" s="7" t="s">
        <v>0</v>
      </c>
      <c r="G183" s="7" t="s">
        <v>0</v>
      </c>
      <c r="H183" s="7" t="s">
        <v>0</v>
      </c>
      <c r="I183" s="7" t="s">
        <v>0</v>
      </c>
      <c r="J183" s="7" t="s">
        <v>0</v>
      </c>
      <c r="K183" s="7" t="s">
        <v>0</v>
      </c>
      <c r="L183" s="7" t="s">
        <v>0</v>
      </c>
      <c r="M183" s="7" t="s">
        <v>0</v>
      </c>
      <c r="N183" s="7" t="s">
        <v>0</v>
      </c>
      <c r="O183" s="7" t="s">
        <v>0</v>
      </c>
      <c r="P183" s="7" t="s">
        <v>0</v>
      </c>
      <c r="Q183" s="7" t="s">
        <v>0</v>
      </c>
      <c r="R183" s="7" t="s">
        <v>0</v>
      </c>
      <c r="S183" s="7" t="s">
        <v>0</v>
      </c>
      <c r="T183" s="7" t="s">
        <v>0</v>
      </c>
      <c r="U183" s="7" t="s">
        <v>0</v>
      </c>
      <c r="V183" s="7" t="s">
        <v>0</v>
      </c>
      <c r="W183" s="16" t="str">
        <f>HYPERLINK("http://www.aruplab.com/Testing-Information/resources/HotLines/HotLineDocs/Aug2023QHL/3016679.pdf","H")</f>
        <v>H</v>
      </c>
      <c r="X183" s="16" t="str">
        <f>HYPERLINK("http://www.aruplab.com/Testing-Information/resources/HotLines/TDMix/Aug2023QHL/3016679.xlsx","T")</f>
        <v>T</v>
      </c>
      <c r="Y183" s="7" t="s">
        <v>0</v>
      </c>
      <c r="Z183" s="16" t="str">
        <f>HYPERLINK("https://connect.aruplab.com/Pricing/TestPrice/3016679/D08212023","P")</f>
        <v>P</v>
      </c>
      <c r="AA183" s="8">
        <v>45159</v>
      </c>
    </row>
    <row r="184" spans="1:27" ht="30">
      <c r="A184" s="6" t="s">
        <v>557</v>
      </c>
      <c r="B184" s="6" t="s">
        <v>558</v>
      </c>
      <c r="C184" s="6" t="s">
        <v>559</v>
      </c>
      <c r="D184" s="7" t="s">
        <v>35</v>
      </c>
      <c r="E184" s="7" t="s">
        <v>0</v>
      </c>
      <c r="F184" s="7" t="s">
        <v>0</v>
      </c>
      <c r="G184" s="7" t="s">
        <v>0</v>
      </c>
      <c r="H184" s="7" t="s">
        <v>0</v>
      </c>
      <c r="I184" s="7" t="s">
        <v>0</v>
      </c>
      <c r="J184" s="7" t="s">
        <v>0</v>
      </c>
      <c r="K184" s="7" t="s">
        <v>0</v>
      </c>
      <c r="L184" s="7" t="s">
        <v>0</v>
      </c>
      <c r="M184" s="7" t="s">
        <v>0</v>
      </c>
      <c r="N184" s="7" t="s">
        <v>0</v>
      </c>
      <c r="O184" s="7" t="s">
        <v>0</v>
      </c>
      <c r="P184" s="7" t="s">
        <v>0</v>
      </c>
      <c r="Q184" s="7" t="s">
        <v>0</v>
      </c>
      <c r="R184" s="7" t="s">
        <v>0</v>
      </c>
      <c r="S184" s="7" t="s">
        <v>0</v>
      </c>
      <c r="T184" s="7" t="s">
        <v>0</v>
      </c>
      <c r="U184" s="7" t="s">
        <v>0</v>
      </c>
      <c r="V184" s="7" t="s">
        <v>0</v>
      </c>
      <c r="W184" s="16" t="str">
        <f>HYPERLINK("http://www.aruplab.com/Testing-Information/resources/HotLines/HotLineDocs/Aug2023QHL/3016682.pdf","H")</f>
        <v>H</v>
      </c>
      <c r="X184" s="16" t="str">
        <f>HYPERLINK("http://www.aruplab.com/Testing-Information/resources/HotLines/TDMix/Aug2023QHL/3016682.xlsx","T")</f>
        <v>T</v>
      </c>
      <c r="Y184" s="7" t="s">
        <v>0</v>
      </c>
      <c r="Z184" s="16" t="str">
        <f>HYPERLINK("https://connect.aruplab.com/Pricing/TestPrice/3016682/D08212023","P")</f>
        <v>P</v>
      </c>
      <c r="AA184" s="8">
        <v>45159</v>
      </c>
    </row>
    <row r="185" spans="1:27">
      <c r="A185" s="6" t="s">
        <v>560</v>
      </c>
      <c r="B185" s="6" t="s">
        <v>561</v>
      </c>
      <c r="C185" s="6" t="s">
        <v>562</v>
      </c>
      <c r="D185" s="7" t="s">
        <v>35</v>
      </c>
      <c r="E185" s="7" t="s">
        <v>0</v>
      </c>
      <c r="F185" s="7" t="s">
        <v>0</v>
      </c>
      <c r="G185" s="7" t="s">
        <v>0</v>
      </c>
      <c r="H185" s="7" t="s">
        <v>0</v>
      </c>
      <c r="I185" s="7" t="s">
        <v>0</v>
      </c>
      <c r="J185" s="7" t="s">
        <v>0</v>
      </c>
      <c r="K185" s="7" t="s">
        <v>0</v>
      </c>
      <c r="L185" s="7" t="s">
        <v>0</v>
      </c>
      <c r="M185" s="7" t="s">
        <v>0</v>
      </c>
      <c r="N185" s="7" t="s">
        <v>0</v>
      </c>
      <c r="O185" s="7" t="s">
        <v>0</v>
      </c>
      <c r="P185" s="7" t="s">
        <v>0</v>
      </c>
      <c r="Q185" s="7" t="s">
        <v>0</v>
      </c>
      <c r="R185" s="7" t="s">
        <v>0</v>
      </c>
      <c r="S185" s="7" t="s">
        <v>0</v>
      </c>
      <c r="T185" s="7" t="s">
        <v>0</v>
      </c>
      <c r="U185" s="7" t="s">
        <v>0</v>
      </c>
      <c r="V185" s="7" t="s">
        <v>0</v>
      </c>
      <c r="W185" s="16" t="str">
        <f>HYPERLINK("http://www.aruplab.com/Testing-Information/resources/HotLines/HotLineDocs/Aug2023QHL/3016687.pdf","H")</f>
        <v>H</v>
      </c>
      <c r="X185" s="16" t="str">
        <f>HYPERLINK("http://www.aruplab.com/Testing-Information/resources/HotLines/TDMix/Aug2023QHL/3016687.xlsx","T")</f>
        <v>T</v>
      </c>
      <c r="Y185" s="16" t="str">
        <f>HYPERLINK("http://www.aruplab.com/Testing-Information/resources/HotLines/Sample_Reports/Aug2023QHL/3016687_Coccidioides by PCR_COCCI PCR.pdf","E")</f>
        <v>E</v>
      </c>
      <c r="Z185" s="16" t="str">
        <f>HYPERLINK("https://connect.aruplab.com/Pricing/TestPrice/3016687/D08212023","P")</f>
        <v>P</v>
      </c>
      <c r="AA185" s="8">
        <v>45159</v>
      </c>
    </row>
    <row r="186" spans="1:27" ht="7.7" customHeight="1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bot-0001</cp:lastModifiedBy>
  <dcterms:created xsi:type="dcterms:W3CDTF">2023-06-30T15:07:33Z</dcterms:created>
  <dcterms:modified xsi:type="dcterms:W3CDTF">2023-07-05T19:31:45Z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2023-06-30T15:07:23Z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1636be83-b4ab-45c2-8f8e-ca8e44cb8dc4</vt:lpwstr>
  </property>
  <property fmtid="{D5CDD505-2E9C-101B-9397-08002B2CF9AE}" pid="8" name="MSIP_Label_7528a15d-fe30-4bc2-853f-da171899c8c3_ContentBits">
    <vt:lpwstr>2</vt:lpwstr>
  </property>
</Properties>
</file>