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808C1732-1804-4AC5-8DEC-FA855A3FCE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3" i="1" l="1"/>
  <c r="X143" i="1"/>
  <c r="W143" i="1"/>
  <c r="V143" i="1"/>
  <c r="Y142" i="1"/>
  <c r="X142" i="1"/>
  <c r="W142" i="1"/>
  <c r="V142" i="1"/>
  <c r="Y141" i="1"/>
  <c r="X141" i="1"/>
  <c r="W141" i="1"/>
  <c r="V141" i="1"/>
  <c r="Y140" i="1"/>
  <c r="X140" i="1"/>
  <c r="W140" i="1"/>
  <c r="V140" i="1"/>
  <c r="Y139" i="1"/>
  <c r="X139" i="1"/>
  <c r="W139" i="1"/>
  <c r="V139" i="1"/>
  <c r="Y138" i="1"/>
  <c r="X138" i="1"/>
  <c r="W138" i="1"/>
  <c r="V138" i="1"/>
  <c r="Y137" i="1"/>
  <c r="W137" i="1"/>
  <c r="V137" i="1"/>
  <c r="Y136" i="1"/>
  <c r="W136" i="1"/>
  <c r="V136" i="1"/>
  <c r="Y135" i="1"/>
  <c r="X135" i="1"/>
  <c r="W135" i="1"/>
  <c r="V135" i="1"/>
  <c r="Y134" i="1"/>
  <c r="W134" i="1"/>
  <c r="V134" i="1"/>
  <c r="Y133" i="1"/>
  <c r="W133" i="1"/>
  <c r="V133" i="1"/>
  <c r="Y132" i="1"/>
  <c r="W132" i="1"/>
  <c r="V132" i="1"/>
  <c r="Y131" i="1"/>
  <c r="W131" i="1"/>
  <c r="V131" i="1"/>
  <c r="Y130" i="1"/>
  <c r="X130" i="1"/>
  <c r="W130" i="1"/>
  <c r="V130" i="1"/>
  <c r="Y129" i="1"/>
  <c r="W129" i="1"/>
  <c r="V129" i="1"/>
  <c r="V128" i="1"/>
  <c r="X127" i="1"/>
  <c r="V127" i="1"/>
  <c r="Y126" i="1"/>
  <c r="W126" i="1"/>
  <c r="V126" i="1"/>
  <c r="V125" i="1"/>
  <c r="Y124" i="1"/>
  <c r="W124" i="1"/>
  <c r="V124" i="1"/>
  <c r="Y123" i="1"/>
  <c r="W123" i="1"/>
  <c r="V123" i="1"/>
  <c r="V122" i="1"/>
  <c r="V121" i="1"/>
  <c r="V120" i="1"/>
  <c r="W119" i="1"/>
  <c r="V119" i="1"/>
  <c r="V118" i="1"/>
  <c r="V117" i="1"/>
  <c r="V116" i="1"/>
  <c r="V115" i="1"/>
  <c r="V114" i="1"/>
  <c r="V113" i="1"/>
  <c r="X112" i="1"/>
  <c r="V112" i="1"/>
  <c r="X111" i="1"/>
  <c r="V111" i="1"/>
  <c r="X110" i="1"/>
  <c r="V110" i="1"/>
  <c r="X109" i="1"/>
  <c r="V109" i="1"/>
  <c r="X108" i="1"/>
  <c r="V108" i="1"/>
  <c r="X107" i="1"/>
  <c r="V107" i="1"/>
  <c r="X106" i="1"/>
  <c r="V106" i="1"/>
  <c r="X105" i="1"/>
  <c r="V105" i="1"/>
  <c r="X104" i="1"/>
  <c r="V104" i="1"/>
  <c r="X103" i="1"/>
  <c r="V103" i="1"/>
  <c r="V102" i="1"/>
  <c r="V101" i="1"/>
  <c r="V100" i="1"/>
  <c r="V99" i="1"/>
  <c r="V98" i="1"/>
  <c r="V97" i="1"/>
  <c r="V96" i="1"/>
  <c r="W95" i="1"/>
  <c r="V95" i="1"/>
  <c r="V94" i="1"/>
  <c r="V93" i="1"/>
  <c r="V92" i="1"/>
  <c r="V91" i="1"/>
  <c r="X90" i="1"/>
  <c r="W90" i="1"/>
  <c r="V90" i="1"/>
  <c r="V89" i="1"/>
  <c r="V88" i="1"/>
  <c r="V87" i="1"/>
  <c r="V86" i="1"/>
  <c r="V85" i="1"/>
  <c r="W84" i="1"/>
  <c r="V84" i="1"/>
  <c r="V83" i="1"/>
  <c r="V82" i="1"/>
  <c r="V81" i="1"/>
  <c r="V80" i="1"/>
  <c r="V79" i="1"/>
  <c r="V78" i="1"/>
  <c r="V77" i="1"/>
  <c r="V76" i="1"/>
  <c r="V75" i="1"/>
  <c r="X74" i="1"/>
  <c r="W74" i="1"/>
  <c r="V74" i="1"/>
  <c r="V73" i="1"/>
  <c r="V72" i="1"/>
  <c r="V71" i="1"/>
  <c r="V70" i="1"/>
  <c r="V69" i="1"/>
  <c r="V68" i="1"/>
  <c r="V67" i="1"/>
  <c r="V66" i="1"/>
  <c r="X65" i="1"/>
  <c r="W65" i="1"/>
  <c r="V65" i="1"/>
  <c r="V64" i="1"/>
  <c r="X63" i="1"/>
  <c r="W63" i="1"/>
  <c r="V63" i="1"/>
  <c r="X62" i="1"/>
  <c r="W62" i="1"/>
  <c r="V62" i="1"/>
  <c r="V61" i="1"/>
  <c r="V60" i="1"/>
  <c r="V59" i="1"/>
  <c r="V58" i="1"/>
  <c r="X57" i="1"/>
  <c r="W57" i="1"/>
  <c r="V57" i="1"/>
  <c r="V56" i="1"/>
  <c r="V55" i="1"/>
  <c r="V54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46" i="1"/>
  <c r="W46" i="1"/>
  <c r="V46" i="1"/>
  <c r="X45" i="1"/>
  <c r="W45" i="1"/>
  <c r="V45" i="1"/>
  <c r="V44" i="1"/>
  <c r="V43" i="1"/>
  <c r="V42" i="1"/>
  <c r="X41" i="1"/>
  <c r="W41" i="1"/>
  <c r="V41" i="1"/>
  <c r="X40" i="1"/>
  <c r="W40" i="1"/>
  <c r="V40" i="1"/>
  <c r="X39" i="1"/>
  <c r="W39" i="1"/>
  <c r="V39" i="1"/>
  <c r="W38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<sst xmlns="http://schemas.openxmlformats.org/spreadsheetml/2006/main" count="3242" uniqueCount="438">
  <si>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</si>
  <si>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</si>
  <si>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</si>
  <si>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</si>
  <si>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</si>
  <si>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</si>
  <si>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</si>
  <si>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</si>
  <si>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</si>
  <si>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</si>
  <si>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</si>
  <si>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</si>
  <si>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</si>
  <si>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</si>
  <si>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</si>
  <si>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</si>
  <si>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</si>
  <si>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</si>
  <si>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</si>
  <si>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</si>
  <si>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</si>
  <si>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</si>
  <si>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</si>
  <si>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</si>
  <si>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</si>
  <si>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</si>
  <si>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</si>
  <si>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</si>
  <si>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</si>
  <si>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</si>
  <si>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</si>
  <si>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0020461</t>
  </si>
  <si>
    <t>COPPER U</t>
  </si>
  <si>
    <t>Copper, Urine</t>
  </si>
  <si>
    <t>x</t>
  </si>
  <si>
    <t>0020462</t>
  </si>
  <si>
    <t>ZINC U</t>
  </si>
  <si>
    <t>Zinc, Urine</t>
  </si>
  <si>
    <t>0020473</t>
  </si>
  <si>
    <t>UCRT</t>
  </si>
  <si>
    <t>Creatinine, Urine - per 24h</t>
  </si>
  <si>
    <t>0020572</t>
  </si>
  <si>
    <t>HY MET U4</t>
  </si>
  <si>
    <t>Heavy Metals Panel 4, Urine with Reflex to Arsenic Fractionated</t>
  </si>
  <si>
    <t>0020734</t>
  </si>
  <si>
    <t>AS UF</t>
  </si>
  <si>
    <t>Arsenic, Fractionated, Urine</t>
  </si>
  <si>
    <t>0020799</t>
  </si>
  <si>
    <t>HEP D AB</t>
  </si>
  <si>
    <t>Hepatitis Delta Virus Antibody</t>
  </si>
  <si>
    <t>0025000</t>
  </si>
  <si>
    <t>ARS U</t>
  </si>
  <si>
    <t>Arsenic, Urine with Reflex to Fractionated</t>
  </si>
  <si>
    <t>0025013</t>
  </si>
  <si>
    <t>CD EXP</t>
  </si>
  <si>
    <t>Cadmium Exposure Panel - OSHA</t>
  </si>
  <si>
    <t>0025019</t>
  </si>
  <si>
    <t>THALU</t>
  </si>
  <si>
    <t>Thallium, Urine</t>
  </si>
  <si>
    <t>0025032</t>
  </si>
  <si>
    <t>COBALT U</t>
  </si>
  <si>
    <t>Cobalt, Urine</t>
  </si>
  <si>
    <t>0025040</t>
  </si>
  <si>
    <t>CADMIUM U</t>
  </si>
  <si>
    <t>Cadmium, Urine</t>
  </si>
  <si>
    <t>0025045</t>
  </si>
  <si>
    <t>NICKEL U</t>
  </si>
  <si>
    <t>Nickel, Urine</t>
  </si>
  <si>
    <t>0025050</t>
  </si>
  <si>
    <t>MERCURY U</t>
  </si>
  <si>
    <t>Mercury, Urine</t>
  </si>
  <si>
    <t>0025055</t>
  </si>
  <si>
    <t>HYMET 6</t>
  </si>
  <si>
    <t>Heavy Metals Panel 6, Urine with Reflex to Arsenic Fractionated</t>
  </si>
  <si>
    <t>0025060</t>
  </si>
  <si>
    <t>LEAD U</t>
  </si>
  <si>
    <t>Lead, Urine</t>
  </si>
  <si>
    <t>0025067</t>
  </si>
  <si>
    <t>SE-U</t>
  </si>
  <si>
    <t>Selenium, Urine</t>
  </si>
  <si>
    <t>0025068</t>
  </si>
  <si>
    <t>CR-U</t>
  </si>
  <si>
    <t>Chromium, Urine</t>
  </si>
  <si>
    <t>0025070</t>
  </si>
  <si>
    <t>MANG U</t>
  </si>
  <si>
    <t>Manganese, Urine</t>
  </si>
  <si>
    <t>0030002</t>
  </si>
  <si>
    <t>VW MUL PAN</t>
  </si>
  <si>
    <t>von Willebrand Multimeric Panel</t>
  </si>
  <si>
    <t>0030125</t>
  </si>
  <si>
    <t>VW PANEL</t>
  </si>
  <si>
    <t>von Willebrand Panel</t>
  </si>
  <si>
    <t>0030284</t>
  </si>
  <si>
    <t>VW PANEL 2</t>
  </si>
  <si>
    <t>von Willebrand Modified Panel</t>
  </si>
  <si>
    <t>0050085</t>
  </si>
  <si>
    <t>SMITH</t>
  </si>
  <si>
    <t>Smith (ENA) Antibody, IgG</t>
  </si>
  <si>
    <t>0050317</t>
  </si>
  <si>
    <t>ANA REF</t>
  </si>
  <si>
    <t>Antinuclear Antibodies (ANA), IgG by ELISA with Reflex to ANA HEp-2 Substrate, IgG by IFA and ENA Confirmation</t>
  </si>
  <si>
    <t>0050345</t>
  </si>
  <si>
    <t>IGE</t>
  </si>
  <si>
    <t>Immunoglobulin E</t>
  </si>
  <si>
    <t>0050470</t>
  </si>
  <si>
    <t>RNP</t>
  </si>
  <si>
    <t>Smith/RNP (ENA) Antibody, IgG</t>
  </si>
  <si>
    <t>0050652</t>
  </si>
  <si>
    <t>ENA ABS4</t>
  </si>
  <si>
    <t>Extractable Nuclear Antigen Antibodies (Smith/RNP, Smith, SSA 52, SSA 60, and SSB)</t>
  </si>
  <si>
    <t>0050692</t>
  </si>
  <si>
    <t>SSB</t>
  </si>
  <si>
    <t>SSB (La) (ENA) Antibody, IgG</t>
  </si>
  <si>
    <t>0050714</t>
  </si>
  <si>
    <t>ANTICENT</t>
  </si>
  <si>
    <t>Centromere Antibody, IgG</t>
  </si>
  <si>
    <t>0050791</t>
  </si>
  <si>
    <t>SSA/SSB</t>
  </si>
  <si>
    <t>Extractable Nuclear Antigen Antibodies (SSA 52, SSA 60, and SSB)</t>
  </si>
  <si>
    <t>0051175</t>
  </si>
  <si>
    <t>GALTPAN</t>
  </si>
  <si>
    <t>Galactosemia (GALT) Enzyme Activity and 9 Mutations</t>
  </si>
  <si>
    <t>0051176</t>
  </si>
  <si>
    <t>GALTDNA</t>
  </si>
  <si>
    <t>Galactosemia, ( GALT) 9 Mutations</t>
  </si>
  <si>
    <t>0051270</t>
  </si>
  <si>
    <t>GALTDNA FE</t>
  </si>
  <si>
    <t>Galactosemia (GALT) 9 Mutations, Fetal</t>
  </si>
  <si>
    <t>0051332</t>
  </si>
  <si>
    <t>UGT1A1</t>
  </si>
  <si>
    <t>UDP Glucuronosyltransferase 1A1 (UGT1A1) Genotyping</t>
  </si>
  <si>
    <t>0051668</t>
  </si>
  <si>
    <t>CONN</t>
  </si>
  <si>
    <t>Connective Tissue Diseases Profile</t>
  </si>
  <si>
    <t>0055662</t>
  </si>
  <si>
    <t>B12 MMA</t>
  </si>
  <si>
    <t xml:space="preserve">Vitamin B12 with Reflex to Methylmalonic Acid, Serum (Vitamin B12 Status)
</t>
  </si>
  <si>
    <t>0060241</t>
  </si>
  <si>
    <t>CGAMD</t>
  </si>
  <si>
    <t>Chlamydia trachomatis and Neisseria gonorrhoeae by Transcription-Mediated Amplification (TMA)</t>
  </si>
  <si>
    <t>0060280</t>
  </si>
  <si>
    <t>HSVFAC</t>
  </si>
  <si>
    <t>Herpes Simplex Virus DFA with Reflex to Herpes Simplex Virus Culture</t>
  </si>
  <si>
    <t>0060281</t>
  </si>
  <si>
    <t>RSPFAC</t>
  </si>
  <si>
    <t>Respiratory Viruses DFA with Reflex to Viral Culture, Respiratory</t>
  </si>
  <si>
    <t>0060282</t>
  </si>
  <si>
    <t>VZVFAC</t>
  </si>
  <si>
    <t>Varicella-Zoster Virus DFA with Reflex to Varicella-Zoster Virus Culture</t>
  </si>
  <si>
    <t>0060283</t>
  </si>
  <si>
    <t>VZV HSVFAC</t>
  </si>
  <si>
    <t>Varicella-Zoster Virus and Herpes Simplex Virus DFA with Reflex to Varicella-Zoster Virus Culture and Herpes Simplex Virus Culture</t>
  </si>
  <si>
    <t>0060288</t>
  </si>
  <si>
    <t>RSV</t>
  </si>
  <si>
    <t>Respiratory Syncytial Virus DFA</t>
  </si>
  <si>
    <t>0060289</t>
  </si>
  <si>
    <t>RSPFA</t>
  </si>
  <si>
    <t>Respiratory Viruses DFA</t>
  </si>
  <si>
    <t>0060290</t>
  </si>
  <si>
    <t>VZVFA</t>
  </si>
  <si>
    <t>Varicella-Zoster Virus DFA</t>
  </si>
  <si>
    <t>0060779</t>
  </si>
  <si>
    <t>HMPVFA</t>
  </si>
  <si>
    <t>Human Metapneumovirus  DFA</t>
  </si>
  <si>
    <t>0070105</t>
  </si>
  <si>
    <t>RENIN</t>
  </si>
  <si>
    <t>Renin Activity</t>
  </si>
  <si>
    <t>0070112</t>
  </si>
  <si>
    <t>PROINS</t>
  </si>
  <si>
    <t>Proinsulin, Intact</t>
  </si>
  <si>
    <t>0070256</t>
  </si>
  <si>
    <t>PRO INS</t>
  </si>
  <si>
    <t>Proinsulin , Intact/Insulin Ratio</t>
  </si>
  <si>
    <t>0083918</t>
  </si>
  <si>
    <t>MMA U</t>
  </si>
  <si>
    <t>Methylmalonic Acid (MMA) Quantitative, Urine</t>
  </si>
  <si>
    <t>0092420</t>
  </si>
  <si>
    <t>DRUG SCRSP</t>
  </si>
  <si>
    <t>Drug Profile, Screen With Reflex to Quantitation, Serum or Plasma</t>
  </si>
  <si>
    <t>0099249</t>
  </si>
  <si>
    <t>RIBPP</t>
  </si>
  <si>
    <t>Ribosomal P Protein Antibody</t>
  </si>
  <si>
    <t>0099431</t>
  </si>
  <si>
    <t>MMA QNT-P</t>
  </si>
  <si>
    <t>Methylmalonic Acid, Serum or Plasma (Vitamin B12 Status)</t>
  </si>
  <si>
    <t>0099475</t>
  </si>
  <si>
    <t>HY MET U</t>
  </si>
  <si>
    <t>Heavy Metals Panel 3, Urine with Reflex to Arsenic Fractionated</t>
  </si>
  <si>
    <t>0099592</t>
  </si>
  <si>
    <t>ANTI-JO</t>
  </si>
  <si>
    <t>Jo-1 Antibody, IgG</t>
  </si>
  <si>
    <t>2001755</t>
  </si>
  <si>
    <t>F8 INV FE</t>
  </si>
  <si>
    <t>Hemophilia A (F8) 2 Inversions, Fetal</t>
  </si>
  <si>
    <t>2001759</t>
  </si>
  <si>
    <t>F8 INV</t>
  </si>
  <si>
    <t>Hemophilia A (F8) 2 Inversions</t>
  </si>
  <si>
    <t>2002298</t>
  </si>
  <si>
    <t>CHR FISHI</t>
  </si>
  <si>
    <t>Chromosome FISH, Interphase</t>
  </si>
  <si>
    <t>2002565</t>
  </si>
  <si>
    <t>RSPFAPCR</t>
  </si>
  <si>
    <t>Respiratory Viruses DFA with Reflex to Respiratory Virus Mini Panel by  PCR</t>
  </si>
  <si>
    <t>2002871</t>
  </si>
  <si>
    <t>PML QNT</t>
  </si>
  <si>
    <t>PML-RARA Detection by RT-PCR, Quantitative (Test on Referral as of 1/17/2023)</t>
  </si>
  <si>
    <t>2003387</t>
  </si>
  <si>
    <t>VW PANEL R</t>
  </si>
  <si>
    <t>von Willebrand Panel with Reflex to von Willebrand Multimeric Analysis</t>
  </si>
  <si>
    <t>2003824</t>
  </si>
  <si>
    <t>CEA M IHC</t>
  </si>
  <si>
    <t>Carcinoembryonic Antigen, Monoclonal (CEA M) by Immunohistochemistry</t>
  </si>
  <si>
    <t>2004055</t>
  </si>
  <si>
    <t>O13 IHC</t>
  </si>
  <si>
    <t>Ewing Sarcoma (O13) by Immunohistochemistry</t>
  </si>
  <si>
    <t>2004124</t>
  </si>
  <si>
    <t>RCC IHC</t>
  </si>
  <si>
    <t>Renal Cell Carcinoma (RCC) Antigen by Immunohistochemistry</t>
  </si>
  <si>
    <t>2005255</t>
  </si>
  <si>
    <t>MMA METD</t>
  </si>
  <si>
    <t>Methylmalonic Acid, Serum or Plasma (Metabolic Disorders)</t>
  </si>
  <si>
    <t>2005506</t>
  </si>
  <si>
    <t>TVAG AMD</t>
  </si>
  <si>
    <t>Trichomonas vaginalis by Transcription-Mediated Amplification (TMA)</t>
  </si>
  <si>
    <t>2006258</t>
  </si>
  <si>
    <t>STD PANEL1</t>
  </si>
  <si>
    <t>Sexually Transmitted Disease Panel 1 by Transcription-Mediated Amplification</t>
  </si>
  <si>
    <t>2006352</t>
  </si>
  <si>
    <t>XCI</t>
  </si>
  <si>
    <t>X-Chromosome Inactivation Analysis</t>
  </si>
  <si>
    <t>2006982</t>
  </si>
  <si>
    <t>VIT B5 S</t>
  </si>
  <si>
    <t>Vitamin B5 (Pantothenic Acid), Serum</t>
  </si>
  <si>
    <t>2007465</t>
  </si>
  <si>
    <t>IODINE U</t>
  </si>
  <si>
    <t>Iodine, Urine</t>
  </si>
  <si>
    <t>2007473</t>
  </si>
  <si>
    <t>ADENOPCR</t>
  </si>
  <si>
    <t>Adenovirus by Qualitative PCR</t>
  </si>
  <si>
    <t>2007862</t>
  </si>
  <si>
    <t>EHR ANAPCR</t>
  </si>
  <si>
    <t>Ehrlichia and Anaplasma Species by PCR</t>
  </si>
  <si>
    <t>2008670</t>
  </si>
  <si>
    <t>TICKPCR</t>
  </si>
  <si>
    <t>Tick-Borne Disease Panel by PCR, Blood</t>
  </si>
  <si>
    <t>2010168</t>
  </si>
  <si>
    <t>DOG1 IHC</t>
  </si>
  <si>
    <t>DOG1 by Immunohistochemistry</t>
  </si>
  <si>
    <t>2011164</t>
  </si>
  <si>
    <t>CTNG CONF</t>
  </si>
  <si>
    <t>Chlamydia trachomatis and Neisseria gonorrhoeae (CTNG) by Transcription-Mediated Amplification (TMA) with Reflex to CT/NG Confirmation</t>
  </si>
  <si>
    <t>2011304</t>
  </si>
  <si>
    <t>HYMETU RND</t>
  </si>
  <si>
    <t>Heavy Metals Panel 3, Random Urine with Reflex to Arsenic Fractionated</t>
  </si>
  <si>
    <t>2011478</t>
  </si>
  <si>
    <t>U ARS RAND</t>
  </si>
  <si>
    <t>Arsenic, Random Urine with Reflex to Fractionated</t>
  </si>
  <si>
    <t>2011479</t>
  </si>
  <si>
    <t>U CAD RAND</t>
  </si>
  <si>
    <t>Cadmium, Random Urine</t>
  </si>
  <si>
    <t>2011480</t>
  </si>
  <si>
    <t>U COP RAND</t>
  </si>
  <si>
    <t>Copper, Random Urine</t>
  </si>
  <si>
    <t>2011481</t>
  </si>
  <si>
    <t>U MERCRAND</t>
  </si>
  <si>
    <t>Mercury, Random Urine</t>
  </si>
  <si>
    <t>2011482</t>
  </si>
  <si>
    <t>U LEADRAND</t>
  </si>
  <si>
    <t>Lead, Random Urine</t>
  </si>
  <si>
    <t>2012074</t>
  </si>
  <si>
    <t>SSA RO</t>
  </si>
  <si>
    <t>SSA 52 and 60 (Ro) (ENA) Antibodies, IgG</t>
  </si>
  <si>
    <t>2013089</t>
  </si>
  <si>
    <t>HHV8 QNT</t>
  </si>
  <si>
    <t>Human Herpesvirus 8 (HHV-8) by Quantitative PCR</t>
  </si>
  <si>
    <t>2013436</t>
  </si>
  <si>
    <t>SMA DD</t>
  </si>
  <si>
    <t>Spinal Muscular Atrophy (SMA) Copy Number Analysis</t>
  </si>
  <si>
    <t>2013484</t>
  </si>
  <si>
    <t>P53 MUTAT</t>
  </si>
  <si>
    <t>TP53 Somatic Mutation, Prognostic</t>
  </si>
  <si>
    <t>2013518</t>
  </si>
  <si>
    <t>FA PRO SP</t>
  </si>
  <si>
    <t>Fatty Acids Profile, Essential Serum or Plasma</t>
  </si>
  <si>
    <t>2013798</t>
  </si>
  <si>
    <t>CANDPCR</t>
  </si>
  <si>
    <t>Candida Species by PCR</t>
  </si>
  <si>
    <t>2013921</t>
  </si>
  <si>
    <t>BRAF CFDNA</t>
  </si>
  <si>
    <t>BRAF V600E Mutation Detection in Circulating Cell-Free DNA by Digital Droplet PCR</t>
  </si>
  <si>
    <t>3000258</t>
  </si>
  <si>
    <t>CF FX SMA</t>
  </si>
  <si>
    <t>Genetic Carrier Screen, (CF, FXS, and SMA) with Reflex to Methylation</t>
  </si>
  <si>
    <t>3000460</t>
  </si>
  <si>
    <t>SMITH_RNP</t>
  </si>
  <si>
    <t>Smith and Smith/RNP (ENA) Antibodies, IgG</t>
  </si>
  <si>
    <t>3000479</t>
  </si>
  <si>
    <t>SSC PANEL</t>
  </si>
  <si>
    <t>Criteria Systemic Sclerosis Panel</t>
  </si>
  <si>
    <t>3000523</t>
  </si>
  <si>
    <t>MPSPCR</t>
  </si>
  <si>
    <t>Mumps Virus by PCR</t>
  </si>
  <si>
    <t>3002463</t>
  </si>
  <si>
    <t>CTD PAN</t>
  </si>
  <si>
    <t>Connective Tissue Disease First Line Panel with Reflex</t>
  </si>
  <si>
    <t>3002581</t>
  </si>
  <si>
    <t>VPAN TMA</t>
  </si>
  <si>
    <t>Vaginitis Panel by TMA</t>
  </si>
  <si>
    <t>3002582</t>
  </si>
  <si>
    <t>BV TMA</t>
  </si>
  <si>
    <t>Bacterial Vaginosis by TMA</t>
  </si>
  <si>
    <t>3002583</t>
  </si>
  <si>
    <t>CVTV TMA</t>
  </si>
  <si>
    <t>Candida glabrata, Candida species, and Trichomonas vaginalis by TMA</t>
  </si>
  <si>
    <t>3005393</t>
  </si>
  <si>
    <t>STRPOST-T</t>
  </si>
  <si>
    <t>Chimerism, Posttransplant, Sorted Cells (T Cells)</t>
  </si>
  <si>
    <t>3005401</t>
  </si>
  <si>
    <t>STRPOST-B</t>
  </si>
  <si>
    <t>Chimerism, Posttransplant, Sorted Cells (B Cells)</t>
  </si>
  <si>
    <t>3005409</t>
  </si>
  <si>
    <t>STRPOST-33</t>
  </si>
  <si>
    <t>Chimerism, Posttransplant, Sorted Cells (CD33+ Cells)</t>
  </si>
  <si>
    <t>3005417</t>
  </si>
  <si>
    <t>STRPOST-GR</t>
  </si>
  <si>
    <t>Chimerism, Posttransplant, Sorted Cells (Granulocytes)</t>
  </si>
  <si>
    <t>3005433</t>
  </si>
  <si>
    <t>STRPOST-34</t>
  </si>
  <si>
    <t>Chimerism, Posttransplant, Sorted Cells (CD34+ Cells)</t>
  </si>
  <si>
    <t>3005441</t>
  </si>
  <si>
    <t>STRPOST-56</t>
  </si>
  <si>
    <t>Chimerism, Posttransplant, Sorted Cells (CD 56+ Cells)</t>
  </si>
  <si>
    <t>3005449</t>
  </si>
  <si>
    <t>STR_PRE</t>
  </si>
  <si>
    <t>Chimerism, Recipient, Pretransplant</t>
  </si>
  <si>
    <t>3005454</t>
  </si>
  <si>
    <t>STR_POST</t>
  </si>
  <si>
    <t>Chimerism, Posttransplant</t>
  </si>
  <si>
    <t>3005462</t>
  </si>
  <si>
    <t>STR_DONOR</t>
  </si>
  <si>
    <t>Chimerism, Donor</t>
  </si>
  <si>
    <t>3005468</t>
  </si>
  <si>
    <t>STR AD DON</t>
  </si>
  <si>
    <t>Chimerism, Additional Donor</t>
  </si>
  <si>
    <t>3005928</t>
  </si>
  <si>
    <t>RWGS FAM</t>
  </si>
  <si>
    <t>Rapid Whole Genome Sequencing, Familial Control</t>
  </si>
  <si>
    <t>3005933</t>
  </si>
  <si>
    <t>RWGS FRPT</t>
  </si>
  <si>
    <t>Rapid Whole Genome Sequencing, Familial Control with Report</t>
  </si>
  <si>
    <t>3005935</t>
  </si>
  <si>
    <t>RWGS NGS</t>
  </si>
  <si>
    <t>Rapid Whole Genome Sequencing</t>
  </si>
  <si>
    <t>3005939</t>
  </si>
  <si>
    <t>RWGS REA</t>
  </si>
  <si>
    <t xml:space="preserve">Whole Genome Reanalysis
</t>
  </si>
  <si>
    <t>3006075</t>
  </si>
  <si>
    <t>BKQ U</t>
  </si>
  <si>
    <t>BK Virus by Quantitative NAAT, Urine</t>
  </si>
  <si>
    <t>3006379</t>
  </si>
  <si>
    <t>HEPD AB QR</t>
  </si>
  <si>
    <t>Hepatitis Delta Virus Antibody by ELISA With Reflex to Hepatitis Delta Virus by Quantitative PCR</t>
  </si>
  <si>
    <t>3006383</t>
  </si>
  <si>
    <t>CLOT RFLX</t>
  </si>
  <si>
    <t>Prolonged Clot Time Reflexive Profile</t>
  </si>
  <si>
    <t>3016493</t>
  </si>
  <si>
    <t>WGS NGS</t>
  </si>
  <si>
    <t>Whole Genome Sequencing</t>
  </si>
  <si>
    <t>3016497</t>
  </si>
  <si>
    <t>WGS FRPT</t>
  </si>
  <si>
    <t>Whole Genome Sequencing, Familial Control</t>
  </si>
  <si>
    <t>3016932</t>
  </si>
  <si>
    <t>VITA B7</t>
  </si>
  <si>
    <t>Vitamin B7, Serum or Plasma</t>
  </si>
  <si>
    <t>3017688</t>
  </si>
  <si>
    <t>TP53 FFPE</t>
  </si>
  <si>
    <t xml:space="preserve">Somatic TP53 Mutations in Formalin-Fixed, Paraffin-Embedded (FFPE) Tissue
</t>
  </si>
  <si>
    <t>3017691</t>
  </si>
  <si>
    <t>TP53 WBBM</t>
  </si>
  <si>
    <t xml:space="preserve">Somatic TP53 Mutations in Whole Blood and Bone Marrow
</t>
  </si>
  <si>
    <t>3018776</t>
  </si>
  <si>
    <t>HBSAGRDABQ</t>
  </si>
  <si>
    <t>Hepatitis B Virus Surface Antigen With Reflex to Confirmation and Reflex to Hepatitis Delta Virus Antibody by ELISA With Reflex to Hepatitis Delta Virus by Quantitative PCR</t>
  </si>
  <si>
    <t>3018922</t>
  </si>
  <si>
    <t>PMLQNT</t>
  </si>
  <si>
    <t xml:space="preserve">PML::RARA Detection by RT-PCR, Quantitative
</t>
  </si>
  <si>
    <t>3018940</t>
  </si>
  <si>
    <t>STR PRE PR</t>
  </si>
  <si>
    <t xml:space="preserve">Chimerism, Recipient, Pretransplant Process and Hold
</t>
  </si>
  <si>
    <t>3019269</t>
  </si>
  <si>
    <t>MEASLESPCR</t>
  </si>
  <si>
    <t>Measles Virus by Qualitative NAAT</t>
  </si>
  <si>
    <t>3019895</t>
  </si>
  <si>
    <t>POU2F3_IHC</t>
  </si>
  <si>
    <t>POU2F3 by Immunohistochemistry</t>
  </si>
  <si>
    <t>3019936</t>
  </si>
  <si>
    <t>PLSMGN RBC</t>
  </si>
  <si>
    <t>Plasmalogens (Red Blood Cells)</t>
  </si>
  <si>
    <t>3019943</t>
  </si>
  <si>
    <t>WGS PRO</t>
  </si>
  <si>
    <t xml:space="preserve">Genome Sequencing
</t>
  </si>
  <si>
    <t>3019947</t>
  </si>
  <si>
    <t>RWGS PRO</t>
  </si>
  <si>
    <t xml:space="preserve">Rapid Genome Sequencing
</t>
  </si>
  <si>
    <t>3019951</t>
  </si>
  <si>
    <t>WGS FM</t>
  </si>
  <si>
    <t xml:space="preserve">Genome Sequencing, Familial Comparator
</t>
  </si>
  <si>
    <t>3019953</t>
  </si>
  <si>
    <t>RWGS FM</t>
  </si>
  <si>
    <t xml:space="preserve">Rapid Genome Sequencing, Familial Comparator
</t>
  </si>
  <si>
    <t>3020127</t>
  </si>
  <si>
    <t>FISH INT</t>
  </si>
  <si>
    <t>FISH Interphase</t>
  </si>
  <si>
    <t>3020130</t>
  </si>
  <si>
    <t>PIT1 IHC</t>
  </si>
  <si>
    <t>Pit1 by Immunohistochemistry</t>
  </si>
  <si>
    <t>3020158</t>
  </si>
  <si>
    <t>TPIT IHC</t>
  </si>
  <si>
    <t>Tpit by Immunohistochemistry</t>
  </si>
  <si>
    <t>3020169</t>
  </si>
  <si>
    <t>VW PAN</t>
  </si>
  <si>
    <t xml:space="preserve">von Willebrand Factor Panel
</t>
  </si>
  <si>
    <t>3020170</t>
  </si>
  <si>
    <t>VW RFLX</t>
  </si>
  <si>
    <t xml:space="preserve">von Willebrand Factor Panel With Reflex to von Willebrand Multimers
</t>
  </si>
  <si>
    <t>3020171</t>
  </si>
  <si>
    <t>VW COMP</t>
  </si>
  <si>
    <t xml:space="preserve">von Willebrand Factor Multimeric Panel
</t>
  </si>
  <si>
    <t>3020335</t>
  </si>
  <si>
    <t>VENOMS-COM</t>
  </si>
  <si>
    <t xml:space="preserve">Allergen, Hymenoptera Venoms With Components
</t>
  </si>
  <si>
    <t>3020431</t>
  </si>
  <si>
    <t>VIT B5 SP</t>
  </si>
  <si>
    <t>Vitamin B5 (Pantothenic Acid), Serum or Plasma</t>
  </si>
  <si>
    <t>3020435</t>
  </si>
  <si>
    <t>VITAMB7 SP</t>
  </si>
  <si>
    <t>Vitamin B7 (Biotin), Serum or Plasma</t>
  </si>
  <si>
    <t>Effective as of January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</si>
</sst>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44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437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34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HYPERLINK("http://www.aruplab.com/Testing-Information/resources/HotLines/HotLineDocs/Jan2026QHL/0020461.pdf","H")</f>
        <v>H</v>
      </c>
      <c r="W9" s="7" t="s">
        <v>0</v>
      </c>
      <c r="X9" s="7" t="s">
        <v>0</v>
      </c>
      <c r="Y9" s="7" t="s">
        <v>0</v>
      </c>
      <c r="Z9" s="8">
        <v>46042</v>
      </c>
    </row>
    <row r="10" spans="1:26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34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HYPERLINK("http://www.aruplab.com/Testing-Information/resources/HotLines/HotLineDocs/Jan2026QHL/0020462.pdf","H")</f>
        <v>H</v>
      </c>
      <c r="W10" s="7" t="s">
        <v>0</v>
      </c>
      <c r="X10" s="7" t="s">
        <v>0</v>
      </c>
      <c r="Y10" s="7" t="s">
        <v>0</v>
      </c>
      <c r="Z10" s="8">
        <v>46042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HYPERLINK("http://www.aruplab.com/Testing-Information/resources/HotLines/HotLineDocs/Jan2026QHL/0020473.pdf","H")</f>
        <v>H</v>
      </c>
      <c r="W11" s="7" t="s">
        <v>0</v>
      </c>
      <c r="X11" s="7" t="s">
        <v>0</v>
      </c>
      <c r="Y11" s="7" t="s">
        <v>0</v>
      </c>
      <c r="Z11" s="8">
        <v>46042</v>
      </c>
    </row>
    <row r="12" spans="1:26" ht="60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34</v>
      </c>
      <c r="J12" s="7" t="s">
        <v>34</v>
      </c>
      <c r="K12" s="7" t="s">
        <v>34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HYPERLINK("http://www.aruplab.com/Testing-Information/resources/HotLines/HotLineDocs/Jan2026QHL/0020572.pdf","H")</f>
        <v>H</v>
      </c>
      <c r="W12" s="7" t="s">
        <v>0</v>
      </c>
      <c r="X12" s="7" t="s">
        <v>0</v>
      </c>
      <c r="Y12" s="7" t="s">
        <v>0</v>
      </c>
      <c r="Z12" s="8">
        <v>46042</v>
      </c>
    </row>
    <row r="13" spans="1:26" ht="30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34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HYPERLINK("http://www.aruplab.com/Testing-Information/resources/HotLines/HotLineDocs/Jan2026QHL/0020734.pdf","H")</f>
        <v>H</v>
      </c>
      <c r="W13" s="7" t="s">
        <v>0</v>
      </c>
      <c r="X13" s="7" t="s">
        <v>0</v>
      </c>
      <c r="Y13" s="7" t="s">
        <v>0</v>
      </c>
      <c r="Z13" s="8">
        <v>46042</v>
      </c>
    </row>
    <row r="14" spans="1:26" ht="30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HYPERLINK("http://www.aruplab.com/Testing-Information/resources/HotLines/HotLineDocs/Jan2026QHL/0020799.pdf","H")</f>
        <v>H</v>
      </c>
      <c r="W14" s="7" t="s">
        <v>0</v>
      </c>
      <c r="X14" s="7" t="s">
        <v>0</v>
      </c>
      <c r="Y14" s="7" t="s">
        <v>0</v>
      </c>
      <c r="Z14" s="8">
        <v>46042</v>
      </c>
    </row>
    <row r="15" spans="1:26" ht="45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34</v>
      </c>
      <c r="J15" s="7" t="s">
        <v>34</v>
      </c>
      <c r="K15" s="7" t="s">
        <v>34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HYPERLINK("http://www.aruplab.com/Testing-Information/resources/HotLines/HotLineDocs/Jan2026QHL/0025000.pdf","H")</f>
        <v>H</v>
      </c>
      <c r="W15" s="7" t="s">
        <v>0</v>
      </c>
      <c r="X15" s="7" t="s">
        <v>0</v>
      </c>
      <c r="Y15" s="7" t="s">
        <v>0</v>
      </c>
      <c r="Z15" s="8">
        <v>46042</v>
      </c>
    </row>
    <row r="16" spans="1:26" ht="45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34</v>
      </c>
      <c r="G16" s="7" t="s">
        <v>0</v>
      </c>
      <c r="H16" s="7" t="s">
        <v>0</v>
      </c>
      <c r="I16" s="7" t="s">
        <v>34</v>
      </c>
      <c r="J16" s="7" t="s">
        <v>34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HYPERLINK("http://www.aruplab.com/Testing-Information/resources/HotLines/HotLineDocs/Jan2026QHL/0025013.pdf","H")</f>
        <v>H</v>
      </c>
      <c r="W16" s="7" t="s">
        <v>0</v>
      </c>
      <c r="X16" s="7" t="s">
        <v>0</v>
      </c>
      <c r="Y16" s="7" t="s">
        <v>0</v>
      </c>
      <c r="Z16" s="8">
        <v>46042</v>
      </c>
    </row>
    <row r="17" spans="1:26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34</v>
      </c>
      <c r="J17" s="7" t="s">
        <v>34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HYPERLINK("http://www.aruplab.com/Testing-Information/resources/HotLines/HotLineDocs/Jan2026QHL/0025019.pdf","H")</f>
        <v>H</v>
      </c>
      <c r="W17" s="7" t="s">
        <v>0</v>
      </c>
      <c r="X17" s="7" t="s">
        <v>0</v>
      </c>
      <c r="Y17" s="7" t="s">
        <v>0</v>
      </c>
      <c r="Z17" s="8">
        <v>46042</v>
      </c>
    </row>
    <row r="18" spans="1:26" x14ac:dyDescent="0.25">
      <c r="A18" s="6" t="s">
        <v>59</v>
      </c>
      <c r="B18" s="6" t="s">
        <v>60</v>
      </c>
      <c r="C18" s="6" t="s">
        <v>61</v>
      </c>
      <c r="D18" s="7" t="s">
        <v>0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34</v>
      </c>
      <c r="J18" s="7" t="s">
        <v>34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HYPERLINK("http://www.aruplab.com/Testing-Information/resources/HotLines/HotLineDocs/Jan2026QHL/0025032.pdf","H")</f>
        <v>H</v>
      </c>
      <c r="W18" s="7" t="s">
        <v>0</v>
      </c>
      <c r="X18" s="7" t="s">
        <v>0</v>
      </c>
      <c r="Y18" s="7" t="s">
        <v>0</v>
      </c>
      <c r="Z18" s="8">
        <v>46042</v>
      </c>
    </row>
    <row r="19" spans="1:26" x14ac:dyDescent="0.25">
      <c r="A19" s="6" t="s">
        <v>62</v>
      </c>
      <c r="B19" s="6" t="s">
        <v>63</v>
      </c>
      <c r="C19" s="6" t="s">
        <v>64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34</v>
      </c>
      <c r="J19" s="7" t="s">
        <v>34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16" t="str">
        <f>HYPERLINK("http://www.aruplab.com/Testing-Information/resources/HotLines/HotLineDocs/Jan2026QHL/0025040.pdf","H")</f>
        <v>H</v>
      </c>
      <c r="W19" s="7" t="s">
        <v>0</v>
      </c>
      <c r="X19" s="7" t="s">
        <v>0</v>
      </c>
      <c r="Y19" s="7" t="s">
        <v>0</v>
      </c>
      <c r="Z19" s="8">
        <v>46042</v>
      </c>
    </row>
    <row r="20" spans="1:26" x14ac:dyDescent="0.25">
      <c r="A20" s="6" t="s">
        <v>65</v>
      </c>
      <c r="B20" s="6" t="s">
        <v>66</v>
      </c>
      <c r="C20" s="6" t="s">
        <v>67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34</v>
      </c>
      <c r="J20" s="7" t="s">
        <v>34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16" t="str">
        <f>HYPERLINK("http://www.aruplab.com/Testing-Information/resources/HotLines/HotLineDocs/Jan2026QHL/0025045.pdf","H")</f>
        <v>H</v>
      </c>
      <c r="W20" s="7" t="s">
        <v>0</v>
      </c>
      <c r="X20" s="7" t="s">
        <v>0</v>
      </c>
      <c r="Y20" s="7" t="s">
        <v>0</v>
      </c>
      <c r="Z20" s="8">
        <v>46042</v>
      </c>
    </row>
    <row r="21" spans="1:26" x14ac:dyDescent="0.25">
      <c r="A21" s="6" t="s">
        <v>68</v>
      </c>
      <c r="B21" s="6" t="s">
        <v>69</v>
      </c>
      <c r="C21" s="6" t="s">
        <v>70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34</v>
      </c>
      <c r="J21" s="7" t="s">
        <v>34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16" t="str">
        <f>HYPERLINK("http://www.aruplab.com/Testing-Information/resources/HotLines/HotLineDocs/Jan2026QHL/0025050.pdf","H")</f>
        <v>H</v>
      </c>
      <c r="W21" s="7" t="s">
        <v>0</v>
      </c>
      <c r="X21" s="7" t="s">
        <v>0</v>
      </c>
      <c r="Y21" s="7" t="s">
        <v>0</v>
      </c>
      <c r="Z21" s="8">
        <v>46042</v>
      </c>
    </row>
    <row r="22" spans="1:26" ht="60" x14ac:dyDescent="0.25">
      <c r="A22" s="6" t="s">
        <v>71</v>
      </c>
      <c r="B22" s="6" t="s">
        <v>72</v>
      </c>
      <c r="C22" s="6" t="s">
        <v>73</v>
      </c>
      <c r="D22" s="7" t="s">
        <v>0</v>
      </c>
      <c r="E22" s="7" t="s">
        <v>0</v>
      </c>
      <c r="F22" s="7" t="s">
        <v>0</v>
      </c>
      <c r="G22" s="7" t="s">
        <v>0</v>
      </c>
      <c r="H22" s="7" t="s">
        <v>0</v>
      </c>
      <c r="I22" s="7" t="s">
        <v>34</v>
      </c>
      <c r="J22" s="7" t="s">
        <v>34</v>
      </c>
      <c r="K22" s="7" t="s">
        <v>34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16" t="str">
        <f>HYPERLINK("http://www.aruplab.com/Testing-Information/resources/HotLines/HotLineDocs/Jan2026QHL/0025055.pdf","H")</f>
        <v>H</v>
      </c>
      <c r="W22" s="7" t="s">
        <v>0</v>
      </c>
      <c r="X22" s="7" t="s">
        <v>0</v>
      </c>
      <c r="Y22" s="7" t="s">
        <v>0</v>
      </c>
      <c r="Z22" s="8">
        <v>46042</v>
      </c>
    </row>
    <row r="23" spans="1:26" x14ac:dyDescent="0.25">
      <c r="A23" s="6" t="s">
        <v>74</v>
      </c>
      <c r="B23" s="6" t="s">
        <v>75</v>
      </c>
      <c r="C23" s="6" t="s">
        <v>76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34</v>
      </c>
      <c r="J23" s="7" t="s">
        <v>34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16" t="str">
        <f>HYPERLINK("http://www.aruplab.com/Testing-Information/resources/HotLines/HotLineDocs/Jan2026QHL/0025060.pdf","H")</f>
        <v>H</v>
      </c>
      <c r="W23" s="7" t="s">
        <v>0</v>
      </c>
      <c r="X23" s="7" t="s">
        <v>0</v>
      </c>
      <c r="Y23" s="7" t="s">
        <v>0</v>
      </c>
      <c r="Z23" s="8">
        <v>46042</v>
      </c>
    </row>
    <row r="24" spans="1:26" x14ac:dyDescent="0.25">
      <c r="A24" s="6" t="s">
        <v>77</v>
      </c>
      <c r="B24" s="6" t="s">
        <v>78</v>
      </c>
      <c r="C24" s="6" t="s">
        <v>79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34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16" t="str">
        <f>HYPERLINK("http://www.aruplab.com/Testing-Information/resources/HotLines/HotLineDocs/Jan2026QHL/0025067.pdf","H")</f>
        <v>H</v>
      </c>
      <c r="W24" s="7" t="s">
        <v>0</v>
      </c>
      <c r="X24" s="7" t="s">
        <v>0</v>
      </c>
      <c r="Y24" s="7" t="s">
        <v>0</v>
      </c>
      <c r="Z24" s="8">
        <v>46042</v>
      </c>
    </row>
    <row r="25" spans="1:26" x14ac:dyDescent="0.25">
      <c r="A25" s="6" t="s">
        <v>80</v>
      </c>
      <c r="B25" s="6" t="s">
        <v>81</v>
      </c>
      <c r="C25" s="6" t="s">
        <v>82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34</v>
      </c>
      <c r="J25" s="7" t="s">
        <v>34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16" t="str">
        <f>HYPERLINK("http://www.aruplab.com/Testing-Information/resources/HotLines/HotLineDocs/Jan2026QHL/0025068.pdf","H")</f>
        <v>H</v>
      </c>
      <c r="W25" s="7" t="s">
        <v>0</v>
      </c>
      <c r="X25" s="7" t="s">
        <v>0</v>
      </c>
      <c r="Y25" s="7" t="s">
        <v>0</v>
      </c>
      <c r="Z25" s="8">
        <v>46042</v>
      </c>
    </row>
    <row r="26" spans="1:26" x14ac:dyDescent="0.25">
      <c r="A26" s="6" t="s">
        <v>83</v>
      </c>
      <c r="B26" s="6" t="s">
        <v>84</v>
      </c>
      <c r="C26" s="6" t="s">
        <v>85</v>
      </c>
      <c r="D26" s="7" t="s">
        <v>0</v>
      </c>
      <c r="E26" s="7" t="s">
        <v>0</v>
      </c>
      <c r="F26" s="7" t="s">
        <v>0</v>
      </c>
      <c r="G26" s="7" t="s">
        <v>0</v>
      </c>
      <c r="H26" s="7" t="s">
        <v>0</v>
      </c>
      <c r="I26" s="7" t="s">
        <v>34</v>
      </c>
      <c r="J26" s="7" t="s">
        <v>34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16" t="str">
        <f>HYPERLINK("http://www.aruplab.com/Testing-Information/resources/HotLines/HotLineDocs/Jan2026QHL/0025070.pdf","H")</f>
        <v>H</v>
      </c>
      <c r="W26" s="7" t="s">
        <v>0</v>
      </c>
      <c r="X26" s="7" t="s">
        <v>0</v>
      </c>
      <c r="Y26" s="7" t="s">
        <v>0</v>
      </c>
      <c r="Z26" s="8">
        <v>46042</v>
      </c>
    </row>
    <row r="27" spans="1:26" ht="30" x14ac:dyDescent="0.25">
      <c r="A27" s="6" t="s">
        <v>86</v>
      </c>
      <c r="B27" s="6" t="s">
        <v>87</v>
      </c>
      <c r="C27" s="6" t="s">
        <v>88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34</v>
      </c>
      <c r="U27" s="7" t="s">
        <v>0</v>
      </c>
      <c r="V27" s="16" t="str">
        <f>HYPERLINK("http://www.aruplab.com/Testing-Information/resources/HotLines/HotLineDocs/Jan2026QHL/2025.12.05 Jan Quarterly Hotline Inactivations.pdf","H")</f>
        <v>H</v>
      </c>
      <c r="W27" s="7" t="s">
        <v>0</v>
      </c>
      <c r="X27" s="7" t="s">
        <v>0</v>
      </c>
      <c r="Y27" s="7" t="s">
        <v>0</v>
      </c>
      <c r="Z27" s="8">
        <v>46042</v>
      </c>
    </row>
    <row r="28" spans="1:26" ht="30" x14ac:dyDescent="0.25">
      <c r="A28" s="6" t="s">
        <v>89</v>
      </c>
      <c r="B28" s="6" t="s">
        <v>90</v>
      </c>
      <c r="C28" s="6" t="s">
        <v>91</v>
      </c>
      <c r="D28" s="7" t="s">
        <v>0</v>
      </c>
      <c r="E28" s="7" t="s">
        <v>0</v>
      </c>
      <c r="F28" s="7" t="s">
        <v>0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0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0</v>
      </c>
      <c r="R28" s="7" t="s">
        <v>0</v>
      </c>
      <c r="S28" s="7" t="s">
        <v>0</v>
      </c>
      <c r="T28" s="7" t="s">
        <v>34</v>
      </c>
      <c r="U28" s="7" t="s">
        <v>0</v>
      </c>
      <c r="V28" s="16" t="str">
        <f>HYPERLINK("http://www.aruplab.com/Testing-Information/resources/HotLines/HotLineDocs/Jan2026QHL/2025.12.05 Jan Quarterly Hotline Inactivations.pdf","H")</f>
        <v>H</v>
      </c>
      <c r="W28" s="7" t="s">
        <v>0</v>
      </c>
      <c r="X28" s="7" t="s">
        <v>0</v>
      </c>
      <c r="Y28" s="7" t="s">
        <v>0</v>
      </c>
      <c r="Z28" s="8">
        <v>46042</v>
      </c>
    </row>
    <row r="29" spans="1:26" ht="30" x14ac:dyDescent="0.25">
      <c r="A29" s="6" t="s">
        <v>92</v>
      </c>
      <c r="B29" s="6" t="s">
        <v>93</v>
      </c>
      <c r="C29" s="6" t="s">
        <v>94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34</v>
      </c>
      <c r="V29" s="16" t="str">
        <f>HYPERLINK("http://www.aruplab.com/Testing-Information/resources/HotLines/HotLineDocs/Jan2026QHL/2025.12.05 Jan Quarterly Hotline Inactivations.pdf","H")</f>
        <v>H</v>
      </c>
      <c r="W29" s="7" t="s">
        <v>0</v>
      </c>
      <c r="X29" s="7" t="s">
        <v>0</v>
      </c>
      <c r="Y29" s="7" t="s">
        <v>0</v>
      </c>
      <c r="Z29" s="8">
        <v>46042</v>
      </c>
    </row>
    <row r="30" spans="1:26" ht="30" x14ac:dyDescent="0.25">
      <c r="A30" s="6" t="s">
        <v>95</v>
      </c>
      <c r="B30" s="6" t="s">
        <v>96</v>
      </c>
      <c r="C30" s="6" t="s">
        <v>97</v>
      </c>
      <c r="D30" s="7" t="s">
        <v>0</v>
      </c>
      <c r="E30" s="7" t="s">
        <v>0</v>
      </c>
      <c r="F30" s="7" t="s">
        <v>34</v>
      </c>
      <c r="G30" s="7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16" t="str">
        <f>HYPERLINK("http://www.aruplab.com/Testing-Information/resources/HotLines/HotLineDocs/Jan2026QHL/0050085.pdf","H")</f>
        <v>H</v>
      </c>
      <c r="W30" s="7" t="s">
        <v>0</v>
      </c>
      <c r="X30" s="7" t="s">
        <v>0</v>
      </c>
      <c r="Y30" s="7" t="s">
        <v>0</v>
      </c>
      <c r="Z30" s="8">
        <v>46042</v>
      </c>
    </row>
    <row r="31" spans="1:26" ht="105" x14ac:dyDescent="0.25">
      <c r="A31" s="6" t="s">
        <v>98</v>
      </c>
      <c r="B31" s="6" t="s">
        <v>99</v>
      </c>
      <c r="C31" s="6" t="s">
        <v>100</v>
      </c>
      <c r="D31" s="7" t="s">
        <v>0</v>
      </c>
      <c r="E31" s="7" t="s">
        <v>0</v>
      </c>
      <c r="F31" s="7" t="s">
        <v>34</v>
      </c>
      <c r="G31" s="7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16" t="str">
        <f>HYPERLINK("http://www.aruplab.com/Testing-Information/resources/HotLines/HotLineDocs/Jan2026QHL/0050317.pdf","H")</f>
        <v>H</v>
      </c>
      <c r="W31" s="7" t="s">
        <v>0</v>
      </c>
      <c r="X31" s="7" t="s">
        <v>0</v>
      </c>
      <c r="Y31" s="7" t="s">
        <v>0</v>
      </c>
      <c r="Z31" s="8">
        <v>46042</v>
      </c>
    </row>
    <row r="32" spans="1:26" x14ac:dyDescent="0.25">
      <c r="A32" s="6" t="s">
        <v>101</v>
      </c>
      <c r="B32" s="6" t="s">
        <v>102</v>
      </c>
      <c r="C32" s="6" t="s">
        <v>103</v>
      </c>
      <c r="D32" s="7" t="s">
        <v>0</v>
      </c>
      <c r="E32" s="7" t="s">
        <v>0</v>
      </c>
      <c r="F32" s="7" t="s">
        <v>34</v>
      </c>
      <c r="G32" s="7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16" t="str">
        <f>HYPERLINK("http://www.aruplab.com/Testing-Information/resources/HotLines/HotLineDocs/Jan2026QHL/0050345.pdf","H")</f>
        <v>H</v>
      </c>
      <c r="W32" s="7" t="s">
        <v>0</v>
      </c>
      <c r="X32" s="7" t="s">
        <v>0</v>
      </c>
      <c r="Y32" s="7" t="s">
        <v>0</v>
      </c>
      <c r="Z32" s="8">
        <v>46042</v>
      </c>
    </row>
    <row r="33" spans="1:26" ht="30" x14ac:dyDescent="0.25">
      <c r="A33" s="6" t="s">
        <v>104</v>
      </c>
      <c r="B33" s="6" t="s">
        <v>105</v>
      </c>
      <c r="C33" s="6" t="s">
        <v>106</v>
      </c>
      <c r="D33" s="7" t="s">
        <v>0</v>
      </c>
      <c r="E33" s="7" t="s">
        <v>0</v>
      </c>
      <c r="F33" s="7" t="s">
        <v>34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16" t="str">
        <f>HYPERLINK("http://www.aruplab.com/Testing-Information/resources/HotLines/HotLineDocs/Jan2026QHL/0050470.pdf","H")</f>
        <v>H</v>
      </c>
      <c r="W33" s="7" t="s">
        <v>0</v>
      </c>
      <c r="X33" s="7" t="s">
        <v>0</v>
      </c>
      <c r="Y33" s="7" t="s">
        <v>0</v>
      </c>
      <c r="Z33" s="8">
        <v>46042</v>
      </c>
    </row>
    <row r="34" spans="1:26" ht="90" x14ac:dyDescent="0.25">
      <c r="A34" s="6" t="s">
        <v>107</v>
      </c>
      <c r="B34" s="6" t="s">
        <v>108</v>
      </c>
      <c r="C34" s="6" t="s">
        <v>109</v>
      </c>
      <c r="D34" s="7" t="s">
        <v>0</v>
      </c>
      <c r="E34" s="7" t="s">
        <v>0</v>
      </c>
      <c r="F34" s="7" t="s">
        <v>34</v>
      </c>
      <c r="G34" s="7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16" t="str">
        <f>HYPERLINK("http://www.aruplab.com/Testing-Information/resources/HotLines/HotLineDocs/Jan2026QHL/0050652.pdf","H")</f>
        <v>H</v>
      </c>
      <c r="W34" s="7" t="s">
        <v>0</v>
      </c>
      <c r="X34" s="7" t="s">
        <v>0</v>
      </c>
      <c r="Y34" s="7" t="s">
        <v>0</v>
      </c>
      <c r="Z34" s="8">
        <v>46042</v>
      </c>
    </row>
    <row r="35" spans="1:26" ht="30" x14ac:dyDescent="0.25">
      <c r="A35" s="6" t="s">
        <v>110</v>
      </c>
      <c r="B35" s="6" t="s">
        <v>111</v>
      </c>
      <c r="C35" s="6" t="s">
        <v>112</v>
      </c>
      <c r="D35" s="7" t="s">
        <v>0</v>
      </c>
      <c r="E35" s="7" t="s">
        <v>0</v>
      </c>
      <c r="F35" s="7" t="s">
        <v>34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16" t="str">
        <f>HYPERLINK("http://www.aruplab.com/Testing-Information/resources/HotLines/HotLineDocs/Jan2026QHL/0050692.pdf","H")</f>
        <v>H</v>
      </c>
      <c r="W35" s="7" t="s">
        <v>0</v>
      </c>
      <c r="X35" s="7" t="s">
        <v>0</v>
      </c>
      <c r="Y35" s="7" t="s">
        <v>0</v>
      </c>
      <c r="Z35" s="8">
        <v>46042</v>
      </c>
    </row>
    <row r="36" spans="1:26" ht="30" x14ac:dyDescent="0.25">
      <c r="A36" s="6" t="s">
        <v>113</v>
      </c>
      <c r="B36" s="6" t="s">
        <v>114</v>
      </c>
      <c r="C36" s="6" t="s">
        <v>115</v>
      </c>
      <c r="D36" s="7" t="s">
        <v>0</v>
      </c>
      <c r="E36" s="7" t="s">
        <v>0</v>
      </c>
      <c r="F36" s="7" t="s">
        <v>34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16" t="str">
        <f>HYPERLINK("http://www.aruplab.com/Testing-Information/resources/HotLines/HotLineDocs/Jan2026QHL/0050714.pdf","H")</f>
        <v>H</v>
      </c>
      <c r="W36" s="7" t="s">
        <v>0</v>
      </c>
      <c r="X36" s="7" t="s">
        <v>0</v>
      </c>
      <c r="Y36" s="7" t="s">
        <v>0</v>
      </c>
      <c r="Z36" s="8">
        <v>46042</v>
      </c>
    </row>
    <row r="37" spans="1:26" ht="75" x14ac:dyDescent="0.25">
      <c r="A37" s="6" t="s">
        <v>116</v>
      </c>
      <c r="B37" s="6" t="s">
        <v>117</v>
      </c>
      <c r="C37" s="6" t="s">
        <v>118</v>
      </c>
      <c r="D37" s="7" t="s">
        <v>0</v>
      </c>
      <c r="E37" s="7" t="s">
        <v>0</v>
      </c>
      <c r="F37" s="7" t="s">
        <v>34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16" t="str">
        <f>HYPERLINK("http://www.aruplab.com/Testing-Information/resources/HotLines/HotLineDocs/Jan2026QHL/0050791.pdf","H")</f>
        <v>H</v>
      </c>
      <c r="W37" s="7" t="s">
        <v>0</v>
      </c>
      <c r="X37" s="7" t="s">
        <v>0</v>
      </c>
      <c r="Y37" s="7" t="s">
        <v>0</v>
      </c>
      <c r="Z37" s="8">
        <v>46042</v>
      </c>
    </row>
    <row r="38" spans="1:26" ht="60" x14ac:dyDescent="0.25">
      <c r="A38" s="6" t="s">
        <v>119</v>
      </c>
      <c r="B38" s="6" t="s">
        <v>120</v>
      </c>
      <c r="C38" s="6" t="s">
        <v>121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34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0</v>
      </c>
      <c r="V38" s="16" t="str">
        <f>HYPERLINK("http://www.aruplab.com/Testing-Information/resources/HotLines/HotLineDocs/Jan2026QHL/0051175.pdf","H")</f>
        <v>H</v>
      </c>
      <c r="W38" s="16" t="str">
        <f>HYPERLINK("http://www.aruplab.com/Testing-Information/resources/HotLines/TDMix/Jan2026QHL/0051175.xlsx","T")</f>
        <v>T</v>
      </c>
      <c r="X38" s="7" t="s">
        <v>0</v>
      </c>
      <c r="Y38" s="7" t="s">
        <v>0</v>
      </c>
      <c r="Z38" s="8">
        <v>46042</v>
      </c>
    </row>
    <row r="39" spans="1:26" ht="30" x14ac:dyDescent="0.25">
      <c r="A39" s="6" t="s">
        <v>122</v>
      </c>
      <c r="B39" s="6" t="s">
        <v>123</v>
      </c>
      <c r="C39" s="6" t="s">
        <v>124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34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16" t="str">
        <f>HYPERLINK("http://www.aruplab.com/Testing-Information/resources/HotLines/HotLineDocs/Jan2026QHL/0051176.pdf","H")</f>
        <v>H</v>
      </c>
      <c r="W39" s="16" t="str">
        <f>HYPERLINK("http://www.aruplab.com/Testing-Information/resources/HotLines/TDMix/Jan2026QHL/0051176.xlsx","T")</f>
        <v>T</v>
      </c>
      <c r="X39" s="16" t="str">
        <f>HYPERLINK("http://www.aruplab.com/Testing-Information/resources/HotLines/Sample_Reports/Jan2026QHL/0051176_Galactosemia GALT 9 Mutations_GALTDNA.pdf","E")</f>
        <v>E</v>
      </c>
      <c r="Y39" s="7" t="s">
        <v>0</v>
      </c>
      <c r="Z39" s="8">
        <v>46042</v>
      </c>
    </row>
    <row r="40" spans="1:26" ht="45" x14ac:dyDescent="0.25">
      <c r="A40" s="6" t="s">
        <v>125</v>
      </c>
      <c r="B40" s="6" t="s">
        <v>126</v>
      </c>
      <c r="C40" s="6" t="s">
        <v>127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34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16" t="str">
        <f>HYPERLINK("http://www.aruplab.com/Testing-Information/resources/HotLines/HotLineDocs/Jan2026QHL/0051270.pdf","H")</f>
        <v>H</v>
      </c>
      <c r="W40" s="16" t="str">
        <f>HYPERLINK("http://www.aruplab.com/Testing-Information/resources/HotLines/TDMix/Jan2026QHL/0051270.xlsx","T")</f>
        <v>T</v>
      </c>
      <c r="X40" s="16" t="str">
        <f>HYPERLINK("http://www.aruplab.com/Testing-Information/resources/HotLines/Sample_Reports/Jan2026QHL/0051270_Galactosemia GALT 9 Mutations Fetal_ GALTDNA FE.pdf","E")</f>
        <v>E</v>
      </c>
      <c r="Y40" s="7" t="s">
        <v>0</v>
      </c>
      <c r="Z40" s="8">
        <v>46042</v>
      </c>
    </row>
    <row r="41" spans="1:26" ht="75" x14ac:dyDescent="0.25">
      <c r="A41" s="6" t="s">
        <v>128</v>
      </c>
      <c r="B41" s="6" t="s">
        <v>129</v>
      </c>
      <c r="C41" s="6" t="s">
        <v>130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34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16" t="str">
        <f>HYPERLINK("http://www.aruplab.com/Testing-Information/resources/HotLines/HotLineDocs/Jan2026QHL/0051332.pdf","H")</f>
        <v>H</v>
      </c>
      <c r="W41" s="16" t="str">
        <f>HYPERLINK("http://www.aruplab.com/Testing-Information/resources/HotLines/TDMix/Jan2026QHL/0051332.xlsx","T")</f>
        <v>T</v>
      </c>
      <c r="X41" s="16" t="str">
        <f>HYPERLINK("http://www.aruplab.com/Testing-Information/resources/HotLines/Sample_Reports/Jan2026QHL/0051332_UDP Glucuronosyltransferase 1A1 UGT1A1 Genotyping_UGT1A1.pdf","E")</f>
        <v>E</v>
      </c>
      <c r="Y41" s="7" t="s">
        <v>0</v>
      </c>
      <c r="Z41" s="8">
        <v>46042</v>
      </c>
    </row>
    <row r="42" spans="1:26" ht="30" x14ac:dyDescent="0.25">
      <c r="A42" s="6" t="s">
        <v>131</v>
      </c>
      <c r="B42" s="6" t="s">
        <v>132</v>
      </c>
      <c r="C42" s="6" t="s">
        <v>133</v>
      </c>
      <c r="D42" s="7" t="s">
        <v>0</v>
      </c>
      <c r="E42" s="7" t="s">
        <v>0</v>
      </c>
      <c r="F42" s="7" t="s">
        <v>34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0</v>
      </c>
      <c r="T42" s="7" t="s">
        <v>0</v>
      </c>
      <c r="U42" s="7" t="s">
        <v>0</v>
      </c>
      <c r="V42" s="16" t="str">
        <f>HYPERLINK("http://www.aruplab.com/Testing-Information/resources/HotLines/HotLineDocs/Jan2026QHL/0051668.pdf","H")</f>
        <v>H</v>
      </c>
      <c r="W42" s="7" t="s">
        <v>0</v>
      </c>
      <c r="X42" s="7" t="s">
        <v>0</v>
      </c>
      <c r="Y42" s="7" t="s">
        <v>0</v>
      </c>
      <c r="Z42" s="8">
        <v>46042</v>
      </c>
    </row>
    <row r="43" spans="1:26" ht="105" x14ac:dyDescent="0.25">
      <c r="A43" s="6" t="s">
        <v>134</v>
      </c>
      <c r="B43" s="6" t="s">
        <v>135</v>
      </c>
      <c r="C43" s="6" t="s">
        <v>136</v>
      </c>
      <c r="D43" s="7" t="s">
        <v>0</v>
      </c>
      <c r="E43" s="7" t="s">
        <v>0</v>
      </c>
      <c r="F43" s="7" t="s">
        <v>34</v>
      </c>
      <c r="G43" s="7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0</v>
      </c>
      <c r="R43" s="7" t="s">
        <v>0</v>
      </c>
      <c r="S43" s="7" t="s">
        <v>0</v>
      </c>
      <c r="T43" s="7" t="s">
        <v>0</v>
      </c>
      <c r="U43" s="7" t="s">
        <v>0</v>
      </c>
      <c r="V43" s="16" t="str">
        <f>HYPERLINK("http://www.aruplab.com/Testing-Information/resources/HotLines/HotLineDocs/Jan2026QHL/0055662.pdf","H")</f>
        <v>H</v>
      </c>
      <c r="W43" s="7" t="s">
        <v>0</v>
      </c>
      <c r="X43" s="7" t="s">
        <v>0</v>
      </c>
      <c r="Y43" s="7" t="s">
        <v>0</v>
      </c>
      <c r="Z43" s="8">
        <v>46042</v>
      </c>
    </row>
    <row r="44" spans="1:26" ht="105" x14ac:dyDescent="0.25">
      <c r="A44" s="6" t="s">
        <v>137</v>
      </c>
      <c r="B44" s="6" t="s">
        <v>138</v>
      </c>
      <c r="C44" s="6" t="s">
        <v>139</v>
      </c>
      <c r="D44" s="7" t="s">
        <v>0</v>
      </c>
      <c r="E44" s="7" t="s">
        <v>0</v>
      </c>
      <c r="F44" s="7" t="s">
        <v>34</v>
      </c>
      <c r="G44" s="7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0</v>
      </c>
      <c r="R44" s="7" t="s">
        <v>0</v>
      </c>
      <c r="S44" s="7" t="s">
        <v>0</v>
      </c>
      <c r="T44" s="7" t="s">
        <v>0</v>
      </c>
      <c r="U44" s="7" t="s">
        <v>0</v>
      </c>
      <c r="V44" s="16" t="str">
        <f>HYPERLINK("http://www.aruplab.com/Testing-Information/resources/HotLines/HotLineDocs/Jan2026QHL/0060241.pdf","H")</f>
        <v>H</v>
      </c>
      <c r="W44" s="7" t="s">
        <v>0</v>
      </c>
      <c r="X44" s="7" t="s">
        <v>0</v>
      </c>
      <c r="Y44" s="7" t="s">
        <v>0</v>
      </c>
      <c r="Z44" s="8">
        <v>46042</v>
      </c>
    </row>
    <row r="45" spans="1:26" ht="75" x14ac:dyDescent="0.25">
      <c r="A45" s="6" t="s">
        <v>140</v>
      </c>
      <c r="B45" s="6" t="s">
        <v>141</v>
      </c>
      <c r="C45" s="6" t="s">
        <v>142</v>
      </c>
      <c r="D45" s="7" t="s">
        <v>0</v>
      </c>
      <c r="E45" s="7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7" t="s">
        <v>0</v>
      </c>
      <c r="L45" s="7" t="s">
        <v>34</v>
      </c>
      <c r="M45" s="7" t="s">
        <v>0</v>
      </c>
      <c r="N45" s="7" t="s">
        <v>0</v>
      </c>
      <c r="O45" s="7" t="s">
        <v>0</v>
      </c>
      <c r="P45" s="7" t="s">
        <v>0</v>
      </c>
      <c r="Q45" s="7" t="s">
        <v>0</v>
      </c>
      <c r="R45" s="7" t="s">
        <v>0</v>
      </c>
      <c r="S45" s="7" t="s">
        <v>0</v>
      </c>
      <c r="T45" s="7" t="s">
        <v>0</v>
      </c>
      <c r="U45" s="7" t="s">
        <v>0</v>
      </c>
      <c r="V45" s="16" t="str">
        <f>HYPERLINK("http://www.aruplab.com/Testing-Information/resources/HotLines/HotLineDocs/Jan2026QHL/0060280.pdf","H")</f>
        <v>H</v>
      </c>
      <c r="W45" s="16" t="str">
        <f>HYPERLINK("http://www.aruplab.com/Testing-Information/resources/HotLines/TDMix/Jan2026QHL/0060280.xlsx","T")</f>
        <v>T</v>
      </c>
      <c r="X45" s="16" t="str">
        <f>HYPERLINK("http://www.aruplab.com/Testing-Information/resources/HotLines/Sample_Reports/Jan2026QHL/0060280_Herpes Simplex Virus DFA with Reflex to Herpes Simplex Virus Culture_HSVFAC.pdf","E")</f>
        <v>E</v>
      </c>
      <c r="Y45" s="7" t="s">
        <v>0</v>
      </c>
      <c r="Z45" s="8">
        <v>46042</v>
      </c>
    </row>
    <row r="46" spans="1:26" ht="75" x14ac:dyDescent="0.25">
      <c r="A46" s="6" t="s">
        <v>143</v>
      </c>
      <c r="B46" s="6" t="s">
        <v>144</v>
      </c>
      <c r="C46" s="6" t="s">
        <v>145</v>
      </c>
      <c r="D46" s="7" t="s">
        <v>0</v>
      </c>
      <c r="E46" s="7" t="s">
        <v>0</v>
      </c>
      <c r="F46" s="7" t="s">
        <v>0</v>
      </c>
      <c r="G46" s="7" t="s">
        <v>0</v>
      </c>
      <c r="H46" s="7" t="s">
        <v>0</v>
      </c>
      <c r="I46" s="7" t="s">
        <v>0</v>
      </c>
      <c r="J46" s="7" t="s">
        <v>0</v>
      </c>
      <c r="K46" s="7" t="s">
        <v>0</v>
      </c>
      <c r="L46" s="7" t="s">
        <v>34</v>
      </c>
      <c r="M46" s="7" t="s">
        <v>0</v>
      </c>
      <c r="N46" s="7" t="s">
        <v>0</v>
      </c>
      <c r="O46" s="7" t="s">
        <v>0</v>
      </c>
      <c r="P46" s="7" t="s">
        <v>0</v>
      </c>
      <c r="Q46" s="7" t="s">
        <v>0</v>
      </c>
      <c r="R46" s="7" t="s">
        <v>0</v>
      </c>
      <c r="S46" s="7" t="s">
        <v>0</v>
      </c>
      <c r="T46" s="7" t="s">
        <v>0</v>
      </c>
      <c r="U46" s="7" t="s">
        <v>0</v>
      </c>
      <c r="V46" s="16" t="str">
        <f>HYPERLINK("http://www.aruplab.com/Testing-Information/resources/HotLines/HotLineDocs/Jan2026QHL/0060281.pdf","H")</f>
        <v>H</v>
      </c>
      <c r="W46" s="16" t="str">
        <f>HYPERLINK("http://www.aruplab.com/Testing-Information/resources/HotLines/TDMix/Jan2026QHL/0060281.xlsx","T")</f>
        <v>T</v>
      </c>
      <c r="X46" s="16" t="str">
        <f>HYPERLINK("http://www.aruplab.com/Testing-Information/resources/HotLines/Sample_Reports/Jan2026QHL/0060281_Respiratory Viruses DFA with Reflex to Viral Culture Respiratory_RSPFAC.pdf","E")</f>
        <v>E</v>
      </c>
      <c r="Y46" s="7" t="s">
        <v>0</v>
      </c>
      <c r="Z46" s="8">
        <v>46042</v>
      </c>
    </row>
    <row r="47" spans="1:26" ht="75" x14ac:dyDescent="0.25">
      <c r="A47" s="6" t="s">
        <v>146</v>
      </c>
      <c r="B47" s="6" t="s">
        <v>147</v>
      </c>
      <c r="C47" s="6" t="s">
        <v>148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7" t="s">
        <v>0</v>
      </c>
      <c r="L47" s="7" t="s">
        <v>34</v>
      </c>
      <c r="M47" s="7" t="s">
        <v>0</v>
      </c>
      <c r="N47" s="7" t="s">
        <v>0</v>
      </c>
      <c r="O47" s="7" t="s">
        <v>0</v>
      </c>
      <c r="P47" s="7" t="s">
        <v>0</v>
      </c>
      <c r="Q47" s="7" t="s">
        <v>0</v>
      </c>
      <c r="R47" s="7" t="s">
        <v>0</v>
      </c>
      <c r="S47" s="7" t="s">
        <v>0</v>
      </c>
      <c r="T47" s="7" t="s">
        <v>0</v>
      </c>
      <c r="U47" s="7" t="s">
        <v>0</v>
      </c>
      <c r="V47" s="16" t="str">
        <f>HYPERLINK("http://www.aruplab.com/Testing-Information/resources/HotLines/HotLineDocs/Jan2026QHL/0060282.pdf","H")</f>
        <v>H</v>
      </c>
      <c r="W47" s="16" t="str">
        <f>HYPERLINK("http://www.aruplab.com/Testing-Information/resources/HotLines/TDMix/Jan2026QHL/0060282.xlsx","T")</f>
        <v>T</v>
      </c>
      <c r="X47" s="16" t="str">
        <f>HYPERLINK("http://www.aruplab.com/Testing-Information/resources/HotLines/Sample_Reports/Jan2026QHL/0060282_Varicella-Zoster Virus DFA with Reflex to Varicella-Zoster Virus Culture_VZVFAC.pdf","E")</f>
        <v>E</v>
      </c>
      <c r="Y47" s="7" t="s">
        <v>0</v>
      </c>
      <c r="Z47" s="8">
        <v>46042</v>
      </c>
    </row>
    <row r="48" spans="1:26" ht="120" x14ac:dyDescent="0.25">
      <c r="A48" s="6" t="s">
        <v>149</v>
      </c>
      <c r="B48" s="6" t="s">
        <v>150</v>
      </c>
      <c r="C48" s="6" t="s">
        <v>151</v>
      </c>
      <c r="D48" s="7" t="s">
        <v>0</v>
      </c>
      <c r="E48" s="7" t="s">
        <v>0</v>
      </c>
      <c r="F48" s="7" t="s">
        <v>0</v>
      </c>
      <c r="G48" s="7" t="s">
        <v>0</v>
      </c>
      <c r="H48" s="7" t="s">
        <v>0</v>
      </c>
      <c r="I48" s="7" t="s">
        <v>0</v>
      </c>
      <c r="J48" s="7" t="s">
        <v>0</v>
      </c>
      <c r="K48" s="7" t="s">
        <v>0</v>
      </c>
      <c r="L48" s="7" t="s">
        <v>34</v>
      </c>
      <c r="M48" s="7" t="s">
        <v>0</v>
      </c>
      <c r="N48" s="7" t="s">
        <v>0</v>
      </c>
      <c r="O48" s="7" t="s">
        <v>0</v>
      </c>
      <c r="P48" s="7" t="s">
        <v>0</v>
      </c>
      <c r="Q48" s="7" t="s">
        <v>0</v>
      </c>
      <c r="R48" s="7" t="s">
        <v>0</v>
      </c>
      <c r="S48" s="7" t="s">
        <v>0</v>
      </c>
      <c r="T48" s="7" t="s">
        <v>0</v>
      </c>
      <c r="U48" s="7" t="s">
        <v>0</v>
      </c>
      <c r="V48" s="16" t="str">
        <f>HYPERLINK("http://www.aruplab.com/Testing-Information/resources/HotLines/HotLineDocs/Jan2026QHL/0060283.pdf","H")</f>
        <v>H</v>
      </c>
      <c r="W48" s="16" t="str">
        <f>HYPERLINK("http://www.aruplab.com/Testing-Information/resources/HotLines/TDMix/Jan2026QHL/0060283.xlsx","T")</f>
        <v>T</v>
      </c>
      <c r="X48" s="16" t="str">
        <f>HYPERLINK("http://www.aruplab.com/Testing-Information/resources/HotLines/Sample_Reports/Jan2026QHL/0060283_Varicella-Zoster Virus and Herpes Simplex Virus DFA with Reflex to VZV and HSV Culture_VZV HSVFAC.pdf","E")</f>
        <v>E</v>
      </c>
      <c r="Y48" s="7" t="s">
        <v>0</v>
      </c>
      <c r="Z48" s="8">
        <v>46042</v>
      </c>
    </row>
    <row r="49" spans="1:26" ht="45" x14ac:dyDescent="0.25">
      <c r="A49" s="6" t="s">
        <v>152</v>
      </c>
      <c r="B49" s="6" t="s">
        <v>153</v>
      </c>
      <c r="C49" s="6" t="s">
        <v>154</v>
      </c>
      <c r="D49" s="7" t="s">
        <v>0</v>
      </c>
      <c r="E49" s="7" t="s">
        <v>0</v>
      </c>
      <c r="F49" s="7" t="s">
        <v>0</v>
      </c>
      <c r="G49" s="7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34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  <c r="S49" s="7" t="s">
        <v>0</v>
      </c>
      <c r="T49" s="7" t="s">
        <v>0</v>
      </c>
      <c r="U49" s="7" t="s">
        <v>0</v>
      </c>
      <c r="V49" s="16" t="str">
        <f>HYPERLINK("http://www.aruplab.com/Testing-Information/resources/HotLines/HotLineDocs/Jan2026QHL/0060288.pdf","H")</f>
        <v>H</v>
      </c>
      <c r="W49" s="16" t="str">
        <f>HYPERLINK("http://www.aruplab.com/Testing-Information/resources/HotLines/TDMix/Jan2026QHL/0060288.xlsx","T")</f>
        <v>T</v>
      </c>
      <c r="X49" s="16" t="str">
        <f>HYPERLINK("http://www.aruplab.com/Testing-Information/resources/HotLines/Sample_Reports/Jan2026QHL/0060288_Respiratory Syncytial Virus DFA_RSV.pdf","E")</f>
        <v>E</v>
      </c>
      <c r="Y49" s="7" t="s">
        <v>0</v>
      </c>
      <c r="Z49" s="8">
        <v>46042</v>
      </c>
    </row>
    <row r="50" spans="1:26" ht="30" x14ac:dyDescent="0.25">
      <c r="A50" s="6" t="s">
        <v>155</v>
      </c>
      <c r="B50" s="6" t="s">
        <v>156</v>
      </c>
      <c r="C50" s="6" t="s">
        <v>157</v>
      </c>
      <c r="D50" s="7" t="s">
        <v>0</v>
      </c>
      <c r="E50" s="7" t="s">
        <v>0</v>
      </c>
      <c r="F50" s="7" t="s">
        <v>0</v>
      </c>
      <c r="G50" s="7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7" t="s">
        <v>34</v>
      </c>
      <c r="M50" s="7" t="s">
        <v>0</v>
      </c>
      <c r="N50" s="7" t="s">
        <v>0</v>
      </c>
      <c r="O50" s="7" t="s">
        <v>0</v>
      </c>
      <c r="P50" s="7" t="s">
        <v>0</v>
      </c>
      <c r="Q50" s="7" t="s">
        <v>0</v>
      </c>
      <c r="R50" s="7" t="s">
        <v>0</v>
      </c>
      <c r="S50" s="7" t="s">
        <v>0</v>
      </c>
      <c r="T50" s="7" t="s">
        <v>0</v>
      </c>
      <c r="U50" s="7" t="s">
        <v>0</v>
      </c>
      <c r="V50" s="16" t="str">
        <f>HYPERLINK("http://www.aruplab.com/Testing-Information/resources/HotLines/HotLineDocs/Jan2026QHL/0060289.pdf","H")</f>
        <v>H</v>
      </c>
      <c r="W50" s="16" t="str">
        <f>HYPERLINK("http://www.aruplab.com/Testing-Information/resources/HotLines/TDMix/Jan2026QHL/0060289.xlsx","T")</f>
        <v>T</v>
      </c>
      <c r="X50" s="16" t="str">
        <f>HYPERLINK("http://www.aruplab.com/Testing-Information/resources/HotLines/Sample_Reports/Jan2026QHL/0060289_Respiratory Viruses DFA_RSPFA.pdf","E")</f>
        <v>E</v>
      </c>
      <c r="Y50" s="7" t="s">
        <v>0</v>
      </c>
      <c r="Z50" s="8">
        <v>46042</v>
      </c>
    </row>
    <row r="51" spans="1:26" ht="30" x14ac:dyDescent="0.25">
      <c r="A51" s="6" t="s">
        <v>158</v>
      </c>
      <c r="B51" s="6" t="s">
        <v>159</v>
      </c>
      <c r="C51" s="6" t="s">
        <v>160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34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  <c r="S51" s="7" t="s">
        <v>0</v>
      </c>
      <c r="T51" s="7" t="s">
        <v>0</v>
      </c>
      <c r="U51" s="7" t="s">
        <v>0</v>
      </c>
      <c r="V51" s="16" t="str">
        <f>HYPERLINK("http://www.aruplab.com/Testing-Information/resources/HotLines/HotLineDocs/Jan2026QHL/0060290.pdf","H")</f>
        <v>H</v>
      </c>
      <c r="W51" s="16" t="str">
        <f>HYPERLINK("http://www.aruplab.com/Testing-Information/resources/HotLines/TDMix/Jan2026QHL/0060290.xlsx","T")</f>
        <v>T</v>
      </c>
      <c r="X51" s="16" t="str">
        <f>HYPERLINK("http://www.aruplab.com/Testing-Information/resources/HotLines/Sample_Reports/Jan2026QHL/0060290_Varicella-Zoster Virus DFA_VZVFA.pdf","E")</f>
        <v>E</v>
      </c>
      <c r="Y51" s="7" t="s">
        <v>0</v>
      </c>
      <c r="Z51" s="8">
        <v>46042</v>
      </c>
    </row>
    <row r="52" spans="1:26" ht="45" x14ac:dyDescent="0.25">
      <c r="A52" s="6" t="s">
        <v>161</v>
      </c>
      <c r="B52" s="6" t="s">
        <v>162</v>
      </c>
      <c r="C52" s="6" t="s">
        <v>163</v>
      </c>
      <c r="D52" s="7" t="s">
        <v>0</v>
      </c>
      <c r="E52" s="7" t="s">
        <v>0</v>
      </c>
      <c r="F52" s="7" t="s">
        <v>0</v>
      </c>
      <c r="G52" s="7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34</v>
      </c>
      <c r="M52" s="7" t="s">
        <v>0</v>
      </c>
      <c r="N52" s="7" t="s">
        <v>0</v>
      </c>
      <c r="O52" s="7" t="s">
        <v>0</v>
      </c>
      <c r="P52" s="7" t="s">
        <v>0</v>
      </c>
      <c r="Q52" s="7" t="s">
        <v>0</v>
      </c>
      <c r="R52" s="7" t="s">
        <v>0</v>
      </c>
      <c r="S52" s="7" t="s">
        <v>0</v>
      </c>
      <c r="T52" s="7" t="s">
        <v>0</v>
      </c>
      <c r="U52" s="7" t="s">
        <v>0</v>
      </c>
      <c r="V52" s="16" t="str">
        <f>HYPERLINK("http://www.aruplab.com/Testing-Information/resources/HotLines/HotLineDocs/Jan2026QHL/0060779.pdf","H")</f>
        <v>H</v>
      </c>
      <c r="W52" s="16" t="str">
        <f>HYPERLINK("http://www.aruplab.com/Testing-Information/resources/HotLines/TDMix/Jan2026QHL/0060779.xlsx","T")</f>
        <v>T</v>
      </c>
      <c r="X52" s="16" t="str">
        <f>HYPERLINK("http://www.aruplab.com/Testing-Information/resources/HotLines/Sample_Reports/Jan2026QHL/0060779_Human Metapneumovirus DFA _HMPVFA.pdf","E")</f>
        <v>E</v>
      </c>
      <c r="Y52" s="7" t="s">
        <v>0</v>
      </c>
      <c r="Z52" s="8">
        <v>46042</v>
      </c>
    </row>
    <row r="53" spans="1:26" x14ac:dyDescent="0.25">
      <c r="A53" s="6" t="s">
        <v>164</v>
      </c>
      <c r="B53" s="6" t="s">
        <v>165</v>
      </c>
      <c r="C53" s="6" t="s">
        <v>166</v>
      </c>
      <c r="D53" s="7" t="s">
        <v>0</v>
      </c>
      <c r="E53" s="7" t="s">
        <v>0</v>
      </c>
      <c r="F53" s="7" t="s">
        <v>34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7" t="s">
        <v>0</v>
      </c>
      <c r="P53" s="7" t="s">
        <v>0</v>
      </c>
      <c r="Q53" s="7" t="s">
        <v>0</v>
      </c>
      <c r="R53" s="7" t="s">
        <v>0</v>
      </c>
      <c r="S53" s="7" t="s">
        <v>0</v>
      </c>
      <c r="T53" s="7" t="s">
        <v>0</v>
      </c>
      <c r="U53" s="7" t="s">
        <v>0</v>
      </c>
      <c r="V53" s="16" t="str">
        <f>HYPERLINK("http://www.aruplab.com/Testing-Information/resources/HotLines/HotLineDocs/Jan2026QHL/0070105.pdf","H")</f>
        <v>H</v>
      </c>
      <c r="W53" s="7" t="s">
        <v>0</v>
      </c>
      <c r="X53" s="7" t="s">
        <v>0</v>
      </c>
      <c r="Y53" s="7" t="s">
        <v>0</v>
      </c>
      <c r="Z53" s="8">
        <v>46042</v>
      </c>
    </row>
    <row r="54" spans="1:26" x14ac:dyDescent="0.25">
      <c r="A54" s="6" t="s">
        <v>167</v>
      </c>
      <c r="B54" s="6" t="s">
        <v>168</v>
      </c>
      <c r="C54" s="6" t="s">
        <v>169</v>
      </c>
      <c r="D54" s="7" t="s">
        <v>0</v>
      </c>
      <c r="E54" s="7" t="s">
        <v>0</v>
      </c>
      <c r="F54" s="7" t="s">
        <v>34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7" t="s">
        <v>0</v>
      </c>
      <c r="P54" s="7" t="s">
        <v>0</v>
      </c>
      <c r="Q54" s="7" t="s">
        <v>0</v>
      </c>
      <c r="R54" s="7" t="s">
        <v>0</v>
      </c>
      <c r="S54" s="7" t="s">
        <v>0</v>
      </c>
      <c r="T54" s="7" t="s">
        <v>0</v>
      </c>
      <c r="U54" s="7" t="s">
        <v>0</v>
      </c>
      <c r="V54" s="16" t="str">
        <f>HYPERLINK("http://www.aruplab.com/Testing-Information/resources/HotLines/HotLineDocs/Jan2026QHL/0070112.pdf","H")</f>
        <v>H</v>
      </c>
      <c r="W54" s="7" t="s">
        <v>0</v>
      </c>
      <c r="X54" s="7" t="s">
        <v>0</v>
      </c>
      <c r="Y54" s="7" t="s">
        <v>0</v>
      </c>
      <c r="Z54" s="8">
        <v>46042</v>
      </c>
    </row>
    <row r="55" spans="1:26" ht="30" x14ac:dyDescent="0.25">
      <c r="A55" s="6" t="s">
        <v>170</v>
      </c>
      <c r="B55" s="6" t="s">
        <v>171</v>
      </c>
      <c r="C55" s="6" t="s">
        <v>172</v>
      </c>
      <c r="D55" s="7" t="s">
        <v>0</v>
      </c>
      <c r="E55" s="7" t="s">
        <v>0</v>
      </c>
      <c r="F55" s="7" t="s">
        <v>34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7" t="s">
        <v>0</v>
      </c>
      <c r="P55" s="7" t="s">
        <v>0</v>
      </c>
      <c r="Q55" s="7" t="s">
        <v>0</v>
      </c>
      <c r="R55" s="7" t="s">
        <v>0</v>
      </c>
      <c r="S55" s="7" t="s">
        <v>0</v>
      </c>
      <c r="T55" s="7" t="s">
        <v>0</v>
      </c>
      <c r="U55" s="7" t="s">
        <v>0</v>
      </c>
      <c r="V55" s="16" t="str">
        <f>HYPERLINK("http://www.aruplab.com/Testing-Information/resources/HotLines/HotLineDocs/Jan2026QHL/0070256.pdf","H")</f>
        <v>H</v>
      </c>
      <c r="W55" s="7" t="s">
        <v>0</v>
      </c>
      <c r="X55" s="7" t="s">
        <v>0</v>
      </c>
      <c r="Y55" s="7" t="s">
        <v>0</v>
      </c>
      <c r="Z55" s="8">
        <v>46042</v>
      </c>
    </row>
    <row r="56" spans="1:26" ht="45" x14ac:dyDescent="0.25">
      <c r="A56" s="6" t="s">
        <v>173</v>
      </c>
      <c r="B56" s="6" t="s">
        <v>174</v>
      </c>
      <c r="C56" s="6" t="s">
        <v>175</v>
      </c>
      <c r="D56" s="7" t="s">
        <v>0</v>
      </c>
      <c r="E56" s="7" t="s">
        <v>0</v>
      </c>
      <c r="F56" s="7" t="s">
        <v>34</v>
      </c>
      <c r="G56" s="7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  <c r="S56" s="7" t="s">
        <v>0</v>
      </c>
      <c r="T56" s="7" t="s">
        <v>0</v>
      </c>
      <c r="U56" s="7" t="s">
        <v>0</v>
      </c>
      <c r="V56" s="16" t="str">
        <f>HYPERLINK("http://www.aruplab.com/Testing-Information/resources/HotLines/HotLineDocs/Jan2026QHL/0083918.pdf","H")</f>
        <v>H</v>
      </c>
      <c r="W56" s="7" t="s">
        <v>0</v>
      </c>
      <c r="X56" s="7" t="s">
        <v>0</v>
      </c>
      <c r="Y56" s="7" t="s">
        <v>0</v>
      </c>
      <c r="Z56" s="8">
        <v>46042</v>
      </c>
    </row>
    <row r="57" spans="1:26" ht="60" x14ac:dyDescent="0.25">
      <c r="A57" s="6" t="s">
        <v>176</v>
      </c>
      <c r="B57" s="6" t="s">
        <v>177</v>
      </c>
      <c r="C57" s="6" t="s">
        <v>178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34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34</v>
      </c>
      <c r="S57" s="7" t="s">
        <v>0</v>
      </c>
      <c r="T57" s="7" t="s">
        <v>0</v>
      </c>
      <c r="U57" s="7" t="s">
        <v>0</v>
      </c>
      <c r="V57" s="16" t="str">
        <f>HYPERLINK("http://www.aruplab.com/Testing-Information/resources/HotLines/HotLineDocs/Jan2026QHL/0092420.pdf","H")</f>
        <v>H</v>
      </c>
      <c r="W57" s="16" t="str">
        <f>HYPERLINK("http://www.aruplab.com/Testing-Information/resources/HotLines/TDMix/Jan2026QHL/0092420.xlsx","T")</f>
        <v>T</v>
      </c>
      <c r="X57" s="16" t="str">
        <f>HYPERLINK("http://www.aruplab.com/Testing-Information/resources/HotLines/Sample_Reports/Jan2026QHL/0092420_Drug Profile Screen With Reflex to Quantitation Serum or Plasma_DRUG SCRSP.pdf","E")</f>
        <v>E</v>
      </c>
      <c r="Y57" s="7" t="s">
        <v>0</v>
      </c>
      <c r="Z57" s="8">
        <v>46042</v>
      </c>
    </row>
    <row r="58" spans="1:26" ht="30" x14ac:dyDescent="0.25">
      <c r="A58" s="6" t="s">
        <v>179</v>
      </c>
      <c r="B58" s="6" t="s">
        <v>180</v>
      </c>
      <c r="C58" s="6" t="s">
        <v>181</v>
      </c>
      <c r="D58" s="7" t="s">
        <v>0</v>
      </c>
      <c r="E58" s="7" t="s">
        <v>0</v>
      </c>
      <c r="F58" s="7" t="s">
        <v>34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7" t="s">
        <v>0</v>
      </c>
      <c r="P58" s="7" t="s">
        <v>0</v>
      </c>
      <c r="Q58" s="7" t="s">
        <v>0</v>
      </c>
      <c r="R58" s="7" t="s">
        <v>0</v>
      </c>
      <c r="S58" s="7" t="s">
        <v>0</v>
      </c>
      <c r="T58" s="7" t="s">
        <v>0</v>
      </c>
      <c r="U58" s="7" t="s">
        <v>0</v>
      </c>
      <c r="V58" s="16" t="str">
        <f>HYPERLINK("http://www.aruplab.com/Testing-Information/resources/HotLines/HotLineDocs/Jan2026QHL/0099249.pdf","H")</f>
        <v>H</v>
      </c>
      <c r="W58" s="7" t="s">
        <v>0</v>
      </c>
      <c r="X58" s="7" t="s">
        <v>0</v>
      </c>
      <c r="Y58" s="7" t="s">
        <v>0</v>
      </c>
      <c r="Z58" s="8">
        <v>46042</v>
      </c>
    </row>
    <row r="59" spans="1:26" ht="60" x14ac:dyDescent="0.25">
      <c r="A59" s="6" t="s">
        <v>182</v>
      </c>
      <c r="B59" s="6" t="s">
        <v>183</v>
      </c>
      <c r="C59" s="6" t="s">
        <v>184</v>
      </c>
      <c r="D59" s="7" t="s">
        <v>0</v>
      </c>
      <c r="E59" s="7" t="s">
        <v>0</v>
      </c>
      <c r="F59" s="7" t="s">
        <v>34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 t="s">
        <v>0</v>
      </c>
      <c r="N59" s="7" t="s">
        <v>0</v>
      </c>
      <c r="O59" s="7" t="s">
        <v>0</v>
      </c>
      <c r="P59" s="7" t="s">
        <v>0</v>
      </c>
      <c r="Q59" s="7" t="s">
        <v>0</v>
      </c>
      <c r="R59" s="7" t="s">
        <v>0</v>
      </c>
      <c r="S59" s="7" t="s">
        <v>0</v>
      </c>
      <c r="T59" s="7" t="s">
        <v>0</v>
      </c>
      <c r="U59" s="7" t="s">
        <v>0</v>
      </c>
      <c r="V59" s="16" t="str">
        <f>HYPERLINK("http://www.aruplab.com/Testing-Information/resources/HotLines/HotLineDocs/Jan2026QHL/0099431.pdf","H")</f>
        <v>H</v>
      </c>
      <c r="W59" s="7" t="s">
        <v>0</v>
      </c>
      <c r="X59" s="7" t="s">
        <v>0</v>
      </c>
      <c r="Y59" s="7" t="s">
        <v>0</v>
      </c>
      <c r="Z59" s="8">
        <v>46042</v>
      </c>
    </row>
    <row r="60" spans="1:26" ht="60" x14ac:dyDescent="0.25">
      <c r="A60" s="6" t="s">
        <v>185</v>
      </c>
      <c r="B60" s="6" t="s">
        <v>186</v>
      </c>
      <c r="C60" s="6" t="s">
        <v>187</v>
      </c>
      <c r="D60" s="7" t="s">
        <v>0</v>
      </c>
      <c r="E60" s="7" t="s">
        <v>0</v>
      </c>
      <c r="F60" s="7" t="s">
        <v>0</v>
      </c>
      <c r="G60" s="7" t="s">
        <v>0</v>
      </c>
      <c r="H60" s="7" t="s">
        <v>0</v>
      </c>
      <c r="I60" s="7" t="s">
        <v>34</v>
      </c>
      <c r="J60" s="7" t="s">
        <v>34</v>
      </c>
      <c r="K60" s="7" t="s">
        <v>34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7" t="s">
        <v>0</v>
      </c>
      <c r="R60" s="7" t="s">
        <v>0</v>
      </c>
      <c r="S60" s="7" t="s">
        <v>0</v>
      </c>
      <c r="T60" s="7" t="s">
        <v>0</v>
      </c>
      <c r="U60" s="7" t="s">
        <v>0</v>
      </c>
      <c r="V60" s="16" t="str">
        <f>HYPERLINK("http://www.aruplab.com/Testing-Information/resources/HotLines/HotLineDocs/Jan2026QHL/0099475.pdf","H")</f>
        <v>H</v>
      </c>
      <c r="W60" s="7" t="s">
        <v>0</v>
      </c>
      <c r="X60" s="7" t="s">
        <v>0</v>
      </c>
      <c r="Y60" s="7" t="s">
        <v>0</v>
      </c>
      <c r="Z60" s="8">
        <v>46042</v>
      </c>
    </row>
    <row r="61" spans="1:26" x14ac:dyDescent="0.25">
      <c r="A61" s="6" t="s">
        <v>188</v>
      </c>
      <c r="B61" s="6" t="s">
        <v>189</v>
      </c>
      <c r="C61" s="6" t="s">
        <v>190</v>
      </c>
      <c r="D61" s="7" t="s">
        <v>0</v>
      </c>
      <c r="E61" s="7" t="s">
        <v>0</v>
      </c>
      <c r="F61" s="7" t="s">
        <v>34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  <c r="S61" s="7" t="s">
        <v>0</v>
      </c>
      <c r="T61" s="7" t="s">
        <v>0</v>
      </c>
      <c r="U61" s="7" t="s">
        <v>0</v>
      </c>
      <c r="V61" s="16" t="str">
        <f>HYPERLINK("http://www.aruplab.com/Testing-Information/resources/HotLines/HotLineDocs/Jan2026QHL/0099592.pdf","H")</f>
        <v>H</v>
      </c>
      <c r="W61" s="7" t="s">
        <v>0</v>
      </c>
      <c r="X61" s="7" t="s">
        <v>0</v>
      </c>
      <c r="Y61" s="7" t="s">
        <v>0</v>
      </c>
      <c r="Z61" s="8">
        <v>46042</v>
      </c>
    </row>
    <row r="62" spans="1:26" ht="30" x14ac:dyDescent="0.25">
      <c r="A62" s="6" t="s">
        <v>191</v>
      </c>
      <c r="B62" s="6" t="s">
        <v>192</v>
      </c>
      <c r="C62" s="6" t="s">
        <v>193</v>
      </c>
      <c r="D62" s="7" t="s">
        <v>0</v>
      </c>
      <c r="E62" s="7" t="s">
        <v>0</v>
      </c>
      <c r="F62" s="7" t="s">
        <v>0</v>
      </c>
      <c r="G62" s="7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7" t="s">
        <v>0</v>
      </c>
      <c r="N62" s="7" t="s">
        <v>0</v>
      </c>
      <c r="O62" s="7" t="s">
        <v>34</v>
      </c>
      <c r="P62" s="7" t="s">
        <v>0</v>
      </c>
      <c r="Q62" s="7" t="s">
        <v>0</v>
      </c>
      <c r="R62" s="7" t="s">
        <v>0</v>
      </c>
      <c r="S62" s="7" t="s">
        <v>0</v>
      </c>
      <c r="T62" s="7" t="s">
        <v>0</v>
      </c>
      <c r="U62" s="7" t="s">
        <v>0</v>
      </c>
      <c r="V62" s="16" t="str">
        <f>HYPERLINK("http://www.aruplab.com/Testing-Information/resources/HotLines/HotLineDocs/Jan2026QHL/2001755.pdf","H")</f>
        <v>H</v>
      </c>
      <c r="W62" s="16" t="str">
        <f>HYPERLINK("http://www.aruplab.com/Testing-Information/resources/HotLines/TDMix/Jan2026QHL/2001755.xlsx","T")</f>
        <v>T</v>
      </c>
      <c r="X62" s="16" t="str">
        <f>HYPERLINK("http://www.aruplab.com/Testing-Information/resources/HotLines/Sample_Reports/Jan2026QHL/2001755_Hemophilia A F8 2 Inversions Fetal_F8 INV FE.pdf","E")</f>
        <v>E</v>
      </c>
      <c r="Y62" s="7" t="s">
        <v>0</v>
      </c>
      <c r="Z62" s="8">
        <v>46042</v>
      </c>
    </row>
    <row r="63" spans="1:26" ht="30" x14ac:dyDescent="0.25">
      <c r="A63" s="6" t="s">
        <v>194</v>
      </c>
      <c r="B63" s="6" t="s">
        <v>195</v>
      </c>
      <c r="C63" s="6" t="s">
        <v>196</v>
      </c>
      <c r="D63" s="7" t="s">
        <v>0</v>
      </c>
      <c r="E63" s="7" t="s">
        <v>0</v>
      </c>
      <c r="F63" s="7" t="s">
        <v>0</v>
      </c>
      <c r="G63" s="7" t="s">
        <v>0</v>
      </c>
      <c r="H63" s="7" t="s">
        <v>0</v>
      </c>
      <c r="I63" s="7" t="s">
        <v>0</v>
      </c>
      <c r="J63" s="7" t="s">
        <v>0</v>
      </c>
      <c r="K63" s="7" t="s">
        <v>0</v>
      </c>
      <c r="L63" s="7" t="s">
        <v>0</v>
      </c>
      <c r="M63" s="7" t="s">
        <v>0</v>
      </c>
      <c r="N63" s="7" t="s">
        <v>0</v>
      </c>
      <c r="O63" s="7" t="s">
        <v>34</v>
      </c>
      <c r="P63" s="7" t="s">
        <v>0</v>
      </c>
      <c r="Q63" s="7" t="s">
        <v>0</v>
      </c>
      <c r="R63" s="7" t="s">
        <v>0</v>
      </c>
      <c r="S63" s="7" t="s">
        <v>0</v>
      </c>
      <c r="T63" s="7" t="s">
        <v>0</v>
      </c>
      <c r="U63" s="7" t="s">
        <v>0</v>
      </c>
      <c r="V63" s="16" t="str">
        <f>HYPERLINK("http://www.aruplab.com/Testing-Information/resources/HotLines/HotLineDocs/Jan2026QHL/2001759.pdf","H")</f>
        <v>H</v>
      </c>
      <c r="W63" s="16" t="str">
        <f>HYPERLINK("http://www.aruplab.com/Testing-Information/resources/HotLines/TDMix/Jan2026QHL/2001759.xlsx","T")</f>
        <v>T</v>
      </c>
      <c r="X63" s="16" t="str">
        <f>HYPERLINK("http://www.aruplab.com/Testing-Information/resources/HotLines/Sample_Reports/Jan2026QHL/2001759_Hemophilia A F8 2 Inversions_F8 INV.pdf","E")</f>
        <v>E</v>
      </c>
      <c r="Y63" s="7" t="s">
        <v>0</v>
      </c>
      <c r="Z63" s="8">
        <v>46042</v>
      </c>
    </row>
    <row r="64" spans="1:26" ht="30" x14ac:dyDescent="0.25">
      <c r="A64" s="6" t="s">
        <v>197</v>
      </c>
      <c r="B64" s="6" t="s">
        <v>198</v>
      </c>
      <c r="C64" s="6" t="s">
        <v>199</v>
      </c>
      <c r="D64" s="7" t="s">
        <v>0</v>
      </c>
      <c r="E64" s="7" t="s">
        <v>0</v>
      </c>
      <c r="F64" s="7" t="s">
        <v>0</v>
      </c>
      <c r="G64" s="7" t="s">
        <v>0</v>
      </c>
      <c r="H64" s="7" t="s">
        <v>0</v>
      </c>
      <c r="I64" s="7" t="s">
        <v>0</v>
      </c>
      <c r="J64" s="7" t="s">
        <v>0</v>
      </c>
      <c r="K64" s="7" t="s">
        <v>0</v>
      </c>
      <c r="L64" s="7" t="s">
        <v>0</v>
      </c>
      <c r="M64" s="7" t="s">
        <v>0</v>
      </c>
      <c r="N64" s="7" t="s">
        <v>0</v>
      </c>
      <c r="O64" s="7" t="s">
        <v>0</v>
      </c>
      <c r="P64" s="7" t="s">
        <v>0</v>
      </c>
      <c r="Q64" s="7" t="s">
        <v>0</v>
      </c>
      <c r="R64" s="7" t="s">
        <v>0</v>
      </c>
      <c r="S64" s="7" t="s">
        <v>0</v>
      </c>
      <c r="T64" s="7" t="s">
        <v>34</v>
      </c>
      <c r="U64" s="7" t="s">
        <v>0</v>
      </c>
      <c r="V64" s="16" t="str">
        <f>HYPERLINK("http://www.aruplab.com/Testing-Information/resources/HotLines/HotLineDocs/Jan2026QHL/2025.12.05 Jan Quarterly Hotline Inactivations.pdf","H")</f>
        <v>H</v>
      </c>
      <c r="W64" s="7" t="s">
        <v>0</v>
      </c>
      <c r="X64" s="7" t="s">
        <v>0</v>
      </c>
      <c r="Y64" s="7" t="s">
        <v>0</v>
      </c>
      <c r="Z64" s="8">
        <v>46042</v>
      </c>
    </row>
    <row r="65" spans="1:26" ht="75" x14ac:dyDescent="0.25">
      <c r="A65" s="6" t="s">
        <v>200</v>
      </c>
      <c r="B65" s="6" t="s">
        <v>201</v>
      </c>
      <c r="C65" s="6" t="s">
        <v>202</v>
      </c>
      <c r="D65" s="7" t="s">
        <v>0</v>
      </c>
      <c r="E65" s="7" t="s">
        <v>0</v>
      </c>
      <c r="F65" s="7" t="s">
        <v>0</v>
      </c>
      <c r="G65" s="7" t="s">
        <v>0</v>
      </c>
      <c r="H65" s="7" t="s">
        <v>0</v>
      </c>
      <c r="I65" s="7" t="s">
        <v>0</v>
      </c>
      <c r="J65" s="7" t="s">
        <v>0</v>
      </c>
      <c r="K65" s="7" t="s">
        <v>0</v>
      </c>
      <c r="L65" s="7" t="s">
        <v>34</v>
      </c>
      <c r="M65" s="7" t="s">
        <v>0</v>
      </c>
      <c r="N65" s="7" t="s">
        <v>0</v>
      </c>
      <c r="O65" s="7" t="s">
        <v>0</v>
      </c>
      <c r="P65" s="7" t="s">
        <v>0</v>
      </c>
      <c r="Q65" s="7" t="s">
        <v>0</v>
      </c>
      <c r="R65" s="7" t="s">
        <v>0</v>
      </c>
      <c r="S65" s="7" t="s">
        <v>0</v>
      </c>
      <c r="T65" s="7" t="s">
        <v>0</v>
      </c>
      <c r="U65" s="7" t="s">
        <v>0</v>
      </c>
      <c r="V65" s="16" t="str">
        <f>HYPERLINK("http://www.aruplab.com/Testing-Information/resources/HotLines/HotLineDocs/Jan2026QHL/2002565.pdf","H")</f>
        <v>H</v>
      </c>
      <c r="W65" s="16" t="str">
        <f>HYPERLINK("http://www.aruplab.com/Testing-Information/resources/HotLines/TDMix/Jan2026QHL/2002565.xlsx","T")</f>
        <v>T</v>
      </c>
      <c r="X65" s="16" t="str">
        <f>HYPERLINK("http://www.aruplab.com/Testing-Information/resources/HotLines/Sample_Reports/Jan2026QHL/2002565_Respiratory Viruses DFA with Reflex to Respiratory Virus Mini Panel by PCR_RSPFAPCR.pdf","E")</f>
        <v>E</v>
      </c>
      <c r="Y65" s="7" t="s">
        <v>0</v>
      </c>
      <c r="Z65" s="8">
        <v>46042</v>
      </c>
    </row>
    <row r="66" spans="1:26" ht="75" x14ac:dyDescent="0.25">
      <c r="A66" s="6" t="s">
        <v>203</v>
      </c>
      <c r="B66" s="6" t="s">
        <v>204</v>
      </c>
      <c r="C66" s="6" t="s">
        <v>205</v>
      </c>
      <c r="D66" s="7" t="s">
        <v>0</v>
      </c>
      <c r="E66" s="7" t="s">
        <v>0</v>
      </c>
      <c r="F66" s="7" t="s">
        <v>0</v>
      </c>
      <c r="G66" s="7" t="s">
        <v>0</v>
      </c>
      <c r="H66" s="7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  <c r="S66" s="7" t="s">
        <v>0</v>
      </c>
      <c r="T66" s="7" t="s">
        <v>34</v>
      </c>
      <c r="U66" s="7" t="s">
        <v>0</v>
      </c>
      <c r="V66" s="16" t="str">
        <f>HYPERLINK("http://www.aruplab.com/Testing-Information/resources/HotLines/HotLineDocs/Jan2026QHL/2025.12.05 Jan Quarterly Hotline Inactivations.pdf","H")</f>
        <v>H</v>
      </c>
      <c r="W66" s="7" t="s">
        <v>0</v>
      </c>
      <c r="X66" s="7" t="s">
        <v>0</v>
      </c>
      <c r="Y66" s="7" t="s">
        <v>0</v>
      </c>
      <c r="Z66" s="8">
        <v>46042</v>
      </c>
    </row>
    <row r="67" spans="1:26" ht="60" x14ac:dyDescent="0.25">
      <c r="A67" s="6" t="s">
        <v>206</v>
      </c>
      <c r="B67" s="6" t="s">
        <v>207</v>
      </c>
      <c r="C67" s="6" t="s">
        <v>208</v>
      </c>
      <c r="D67" s="7" t="s">
        <v>0</v>
      </c>
      <c r="E67" s="7" t="s">
        <v>0</v>
      </c>
      <c r="F67" s="7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7" t="s">
        <v>0</v>
      </c>
      <c r="P67" s="7" t="s">
        <v>0</v>
      </c>
      <c r="Q67" s="7" t="s">
        <v>0</v>
      </c>
      <c r="R67" s="7" t="s">
        <v>0</v>
      </c>
      <c r="S67" s="7" t="s">
        <v>0</v>
      </c>
      <c r="T67" s="7" t="s">
        <v>34</v>
      </c>
      <c r="U67" s="7" t="s">
        <v>0</v>
      </c>
      <c r="V67" s="16" t="str">
        <f>HYPERLINK("http://www.aruplab.com/Testing-Information/resources/HotLines/HotLineDocs/Jan2026QHL/2025.12.05 Jan Quarterly Hotline Inactivations.pdf","H")</f>
        <v>H</v>
      </c>
      <c r="W67" s="7" t="s">
        <v>0</v>
      </c>
      <c r="X67" s="7" t="s">
        <v>0</v>
      </c>
      <c r="Y67" s="7" t="s">
        <v>0</v>
      </c>
      <c r="Z67" s="8">
        <v>46042</v>
      </c>
    </row>
    <row r="68" spans="1:26" ht="90" x14ac:dyDescent="0.25">
      <c r="A68" s="6" t="s">
        <v>209</v>
      </c>
      <c r="B68" s="6" t="s">
        <v>210</v>
      </c>
      <c r="C68" s="6" t="s">
        <v>211</v>
      </c>
      <c r="D68" s="7" t="s">
        <v>0</v>
      </c>
      <c r="E68" s="7" t="s">
        <v>0</v>
      </c>
      <c r="F68" s="7" t="s">
        <v>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  <c r="S68" s="7" t="s">
        <v>0</v>
      </c>
      <c r="T68" s="7" t="s">
        <v>0</v>
      </c>
      <c r="U68" s="7" t="s">
        <v>34</v>
      </c>
      <c r="V68" s="16" t="str">
        <f>HYPERLINK("http://www.aruplab.com/Testing-Information/resources/HotLines/HotLineDocs/Jan2026QHL/2025.12.05 Jan Quarterly Hotline Inactivations.pdf","H")</f>
        <v>H</v>
      </c>
      <c r="W68" s="7" t="s">
        <v>0</v>
      </c>
      <c r="X68" s="7" t="s">
        <v>0</v>
      </c>
      <c r="Y68" s="7" t="s">
        <v>0</v>
      </c>
      <c r="Z68" s="8">
        <v>46042</v>
      </c>
    </row>
    <row r="69" spans="1:26" ht="60" x14ac:dyDescent="0.25">
      <c r="A69" s="6" t="s">
        <v>212</v>
      </c>
      <c r="B69" s="6" t="s">
        <v>213</v>
      </c>
      <c r="C69" s="6" t="s">
        <v>214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7" t="s">
        <v>0</v>
      </c>
      <c r="L69" s="7" t="s">
        <v>0</v>
      </c>
      <c r="M69" s="7" t="s">
        <v>0</v>
      </c>
      <c r="N69" s="7" t="s">
        <v>0</v>
      </c>
      <c r="O69" s="7" t="s">
        <v>0</v>
      </c>
      <c r="P69" s="7" t="s">
        <v>0</v>
      </c>
      <c r="Q69" s="7" t="s">
        <v>0</v>
      </c>
      <c r="R69" s="7" t="s">
        <v>0</v>
      </c>
      <c r="S69" s="7" t="s">
        <v>0</v>
      </c>
      <c r="T69" s="7" t="s">
        <v>0</v>
      </c>
      <c r="U69" s="7" t="s">
        <v>34</v>
      </c>
      <c r="V69" s="16" t="str">
        <f>HYPERLINK("http://www.aruplab.com/Testing-Information/resources/HotLines/HotLineDocs/Jan2026QHL/2025.12.05 Jan Quarterly Hotline Inactivations.pdf","H")</f>
        <v>H</v>
      </c>
      <c r="W69" s="7" t="s">
        <v>0</v>
      </c>
      <c r="X69" s="7" t="s">
        <v>0</v>
      </c>
      <c r="Y69" s="7" t="s">
        <v>0</v>
      </c>
      <c r="Z69" s="8">
        <v>46042</v>
      </c>
    </row>
    <row r="70" spans="1:26" ht="75" x14ac:dyDescent="0.25">
      <c r="A70" s="6" t="s">
        <v>215</v>
      </c>
      <c r="B70" s="6" t="s">
        <v>216</v>
      </c>
      <c r="C70" s="6" t="s">
        <v>217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7" t="s">
        <v>0</v>
      </c>
      <c r="P70" s="7" t="s">
        <v>0</v>
      </c>
      <c r="Q70" s="7" t="s">
        <v>0</v>
      </c>
      <c r="R70" s="7" t="s">
        <v>0</v>
      </c>
      <c r="S70" s="7" t="s">
        <v>0</v>
      </c>
      <c r="T70" s="7" t="s">
        <v>0</v>
      </c>
      <c r="U70" s="7" t="s">
        <v>34</v>
      </c>
      <c r="V70" s="16" t="str">
        <f>HYPERLINK("http://www.aruplab.com/Testing-Information/resources/HotLines/HotLineDocs/Jan2026QHL/2025.12.05 Jan Quarterly Hotline Inactivations.pdf","H")</f>
        <v>H</v>
      </c>
      <c r="W70" s="7" t="s">
        <v>0</v>
      </c>
      <c r="X70" s="7" t="s">
        <v>0</v>
      </c>
      <c r="Y70" s="7" t="s">
        <v>0</v>
      </c>
      <c r="Z70" s="8">
        <v>46042</v>
      </c>
    </row>
    <row r="71" spans="1:26" ht="60" x14ac:dyDescent="0.25">
      <c r="A71" s="6" t="s">
        <v>218</v>
      </c>
      <c r="B71" s="6" t="s">
        <v>219</v>
      </c>
      <c r="C71" s="6" t="s">
        <v>220</v>
      </c>
      <c r="D71" s="7" t="s">
        <v>0</v>
      </c>
      <c r="E71" s="7" t="s">
        <v>0</v>
      </c>
      <c r="F71" s="7" t="s">
        <v>34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  <c r="S71" s="7" t="s">
        <v>0</v>
      </c>
      <c r="T71" s="7" t="s">
        <v>0</v>
      </c>
      <c r="U71" s="7" t="s">
        <v>0</v>
      </c>
      <c r="V71" s="16" t="str">
        <f>HYPERLINK("http://www.aruplab.com/Testing-Information/resources/HotLines/HotLineDocs/Jan2026QHL/2005255.pdf","H")</f>
        <v>H</v>
      </c>
      <c r="W71" s="7" t="s">
        <v>0</v>
      </c>
      <c r="X71" s="7" t="s">
        <v>0</v>
      </c>
      <c r="Y71" s="7" t="s">
        <v>0</v>
      </c>
      <c r="Z71" s="8">
        <v>46042</v>
      </c>
    </row>
    <row r="72" spans="1:26" ht="75" x14ac:dyDescent="0.25">
      <c r="A72" s="6" t="s">
        <v>221</v>
      </c>
      <c r="B72" s="6" t="s">
        <v>222</v>
      </c>
      <c r="C72" s="6" t="s">
        <v>223</v>
      </c>
      <c r="D72" s="7" t="s">
        <v>0</v>
      </c>
      <c r="E72" s="7" t="s">
        <v>0</v>
      </c>
      <c r="F72" s="7" t="s">
        <v>34</v>
      </c>
      <c r="G72" s="7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  <c r="S72" s="7" t="s">
        <v>0</v>
      </c>
      <c r="T72" s="7" t="s">
        <v>0</v>
      </c>
      <c r="U72" s="7" t="s">
        <v>0</v>
      </c>
      <c r="V72" s="16" t="str">
        <f>HYPERLINK("http://www.aruplab.com/Testing-Information/resources/HotLines/HotLineDocs/Jan2026QHL/2005506.pdf","H")</f>
        <v>H</v>
      </c>
      <c r="W72" s="7" t="s">
        <v>0</v>
      </c>
      <c r="X72" s="7" t="s">
        <v>0</v>
      </c>
      <c r="Y72" s="7" t="s">
        <v>0</v>
      </c>
      <c r="Z72" s="8">
        <v>46042</v>
      </c>
    </row>
    <row r="73" spans="1:26" ht="90" x14ac:dyDescent="0.25">
      <c r="A73" s="6" t="s">
        <v>224</v>
      </c>
      <c r="B73" s="6" t="s">
        <v>225</v>
      </c>
      <c r="C73" s="6" t="s">
        <v>226</v>
      </c>
      <c r="D73" s="7" t="s">
        <v>0</v>
      </c>
      <c r="E73" s="7" t="s">
        <v>0</v>
      </c>
      <c r="F73" s="7" t="s">
        <v>34</v>
      </c>
      <c r="G73" s="7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7" t="s">
        <v>0</v>
      </c>
      <c r="N73" s="7" t="s">
        <v>0</v>
      </c>
      <c r="O73" s="7" t="s">
        <v>0</v>
      </c>
      <c r="P73" s="7" t="s">
        <v>0</v>
      </c>
      <c r="Q73" s="7" t="s">
        <v>0</v>
      </c>
      <c r="R73" s="7" t="s">
        <v>0</v>
      </c>
      <c r="S73" s="7" t="s">
        <v>0</v>
      </c>
      <c r="T73" s="7" t="s">
        <v>0</v>
      </c>
      <c r="U73" s="7" t="s">
        <v>0</v>
      </c>
      <c r="V73" s="16" t="str">
        <f>HYPERLINK("http://www.aruplab.com/Testing-Information/resources/HotLines/HotLineDocs/Jan2026QHL/2006258.pdf","H")</f>
        <v>H</v>
      </c>
      <c r="W73" s="7" t="s">
        <v>0</v>
      </c>
      <c r="X73" s="7" t="s">
        <v>0</v>
      </c>
      <c r="Y73" s="7" t="s">
        <v>0</v>
      </c>
      <c r="Z73" s="8">
        <v>46042</v>
      </c>
    </row>
    <row r="74" spans="1:26" ht="45" x14ac:dyDescent="0.25">
      <c r="A74" s="6" t="s">
        <v>227</v>
      </c>
      <c r="B74" s="6" t="s">
        <v>228</v>
      </c>
      <c r="C74" s="6" t="s">
        <v>229</v>
      </c>
      <c r="D74" s="7" t="s">
        <v>0</v>
      </c>
      <c r="E74" s="7" t="s">
        <v>0</v>
      </c>
      <c r="F74" s="7" t="s">
        <v>0</v>
      </c>
      <c r="G74" s="7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7" t="s">
        <v>0</v>
      </c>
      <c r="N74" s="7" t="s">
        <v>0</v>
      </c>
      <c r="O74" s="7" t="s">
        <v>34</v>
      </c>
      <c r="P74" s="7" t="s">
        <v>0</v>
      </c>
      <c r="Q74" s="7" t="s">
        <v>0</v>
      </c>
      <c r="R74" s="7" t="s">
        <v>0</v>
      </c>
      <c r="S74" s="7" t="s">
        <v>0</v>
      </c>
      <c r="T74" s="7" t="s">
        <v>0</v>
      </c>
      <c r="U74" s="7" t="s">
        <v>0</v>
      </c>
      <c r="V74" s="16" t="str">
        <f>HYPERLINK("http://www.aruplab.com/Testing-Information/resources/HotLines/HotLineDocs/Jan2026QHL/2006352.pdf","H")</f>
        <v>H</v>
      </c>
      <c r="W74" s="16" t="str">
        <f>HYPERLINK("http://www.aruplab.com/Testing-Information/resources/HotLines/TDMix/Jan2026QHL/2006352.xlsx","T")</f>
        <v>T</v>
      </c>
      <c r="X74" s="16" t="str">
        <f>HYPERLINK("http://www.aruplab.com/Testing-Information/resources/HotLines/Sample_Reports/Jan2026QHL/2006352_X-Chromosome Inactivation Analysis_XCI.pdf","E")</f>
        <v>E</v>
      </c>
      <c r="Y74" s="7" t="s">
        <v>0</v>
      </c>
      <c r="Z74" s="8">
        <v>46042</v>
      </c>
    </row>
    <row r="75" spans="1:26" ht="45" x14ac:dyDescent="0.25">
      <c r="A75" s="6" t="s">
        <v>230</v>
      </c>
      <c r="B75" s="6" t="s">
        <v>231</v>
      </c>
      <c r="C75" s="6" t="s">
        <v>232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7" t="s">
        <v>0</v>
      </c>
      <c r="R75" s="7" t="s">
        <v>0</v>
      </c>
      <c r="S75" s="7" t="s">
        <v>0</v>
      </c>
      <c r="T75" s="7" t="s">
        <v>34</v>
      </c>
      <c r="U75" s="7" t="s">
        <v>0</v>
      </c>
      <c r="V75" s="16" t="str">
        <f>HYPERLINK("http://www.aruplab.com/Testing-Information/resources/HotLines/HotLineDocs/Jan2026QHL/2025.12.05 Jan Quarterly Hotline Inactivations.pdf","H")</f>
        <v>H</v>
      </c>
      <c r="W75" s="7" t="s">
        <v>0</v>
      </c>
      <c r="X75" s="7" t="s">
        <v>0</v>
      </c>
      <c r="Y75" s="7" t="s">
        <v>0</v>
      </c>
      <c r="Z75" s="8">
        <v>46042</v>
      </c>
    </row>
    <row r="76" spans="1:26" x14ac:dyDescent="0.25">
      <c r="A76" s="6" t="s">
        <v>233</v>
      </c>
      <c r="B76" s="6" t="s">
        <v>234</v>
      </c>
      <c r="C76" s="6" t="s">
        <v>235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34</v>
      </c>
      <c r="J76" s="7" t="s">
        <v>34</v>
      </c>
      <c r="K76" s="7" t="s">
        <v>34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7" t="s">
        <v>0</v>
      </c>
      <c r="R76" s="7" t="s">
        <v>0</v>
      </c>
      <c r="S76" s="7" t="s">
        <v>0</v>
      </c>
      <c r="T76" s="7" t="s">
        <v>0</v>
      </c>
      <c r="U76" s="7" t="s">
        <v>0</v>
      </c>
      <c r="V76" s="16" t="str">
        <f>HYPERLINK("http://www.aruplab.com/Testing-Information/resources/HotLines/HotLineDocs/Jan2026QHL/2007465.pdf","H")</f>
        <v>H</v>
      </c>
      <c r="W76" s="7" t="s">
        <v>0</v>
      </c>
      <c r="X76" s="7" t="s">
        <v>0</v>
      </c>
      <c r="Y76" s="7" t="s">
        <v>0</v>
      </c>
      <c r="Z76" s="8">
        <v>46042</v>
      </c>
    </row>
    <row r="77" spans="1:26" ht="30" x14ac:dyDescent="0.25">
      <c r="A77" s="6" t="s">
        <v>236</v>
      </c>
      <c r="B77" s="6" t="s">
        <v>237</v>
      </c>
      <c r="C77" s="6" t="s">
        <v>238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7" t="s">
        <v>0</v>
      </c>
      <c r="P77" s="7" t="s">
        <v>0</v>
      </c>
      <c r="Q77" s="7" t="s">
        <v>0</v>
      </c>
      <c r="R77" s="7" t="s">
        <v>0</v>
      </c>
      <c r="S77" s="7" t="s">
        <v>34</v>
      </c>
      <c r="T77" s="7" t="s">
        <v>0</v>
      </c>
      <c r="U77" s="7" t="s">
        <v>0</v>
      </c>
      <c r="V77" s="16" t="str">
        <f>HYPERLINK("http://www.aruplab.com/Testing-Information/resources/HotLines/HotLineDocs/Jan2026QHL/2007473.pdf","H")</f>
        <v>H</v>
      </c>
      <c r="W77" s="7" t="s">
        <v>0</v>
      </c>
      <c r="X77" s="7" t="s">
        <v>0</v>
      </c>
      <c r="Y77" s="7" t="s">
        <v>0</v>
      </c>
      <c r="Z77" s="8">
        <v>46042</v>
      </c>
    </row>
    <row r="78" spans="1:26" ht="45" x14ac:dyDescent="0.25">
      <c r="A78" s="6" t="s">
        <v>239</v>
      </c>
      <c r="B78" s="6" t="s">
        <v>240</v>
      </c>
      <c r="C78" s="6" t="s">
        <v>241</v>
      </c>
      <c r="D78" s="7" t="s">
        <v>0</v>
      </c>
      <c r="E78" s="7" t="s">
        <v>0</v>
      </c>
      <c r="F78" s="7" t="s">
        <v>0</v>
      </c>
      <c r="G78" s="7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7" t="s">
        <v>0</v>
      </c>
      <c r="N78" s="7" t="s">
        <v>0</v>
      </c>
      <c r="O78" s="7" t="s">
        <v>0</v>
      </c>
      <c r="P78" s="7" t="s">
        <v>0</v>
      </c>
      <c r="Q78" s="7" t="s">
        <v>0</v>
      </c>
      <c r="R78" s="7" t="s">
        <v>0</v>
      </c>
      <c r="S78" s="7" t="s">
        <v>34</v>
      </c>
      <c r="T78" s="7" t="s">
        <v>0</v>
      </c>
      <c r="U78" s="7" t="s">
        <v>0</v>
      </c>
      <c r="V78" s="16" t="str">
        <f>HYPERLINK("http://www.aruplab.com/Testing-Information/resources/HotLines/HotLineDocs/Jan2026QHL/2007862.pdf","H")</f>
        <v>H</v>
      </c>
      <c r="W78" s="7" t="s">
        <v>0</v>
      </c>
      <c r="X78" s="7" t="s">
        <v>0</v>
      </c>
      <c r="Y78" s="7" t="s">
        <v>0</v>
      </c>
      <c r="Z78" s="8">
        <v>46042</v>
      </c>
    </row>
    <row r="79" spans="1:26" ht="45" x14ac:dyDescent="0.25">
      <c r="A79" s="6" t="s">
        <v>242</v>
      </c>
      <c r="B79" s="6" t="s">
        <v>243</v>
      </c>
      <c r="C79" s="6" t="s">
        <v>244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7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  <c r="S79" s="7" t="s">
        <v>34</v>
      </c>
      <c r="T79" s="7" t="s">
        <v>0</v>
      </c>
      <c r="U79" s="7" t="s">
        <v>0</v>
      </c>
      <c r="V79" s="16" t="str">
        <f>HYPERLINK("http://www.aruplab.com/Testing-Information/resources/HotLines/HotLineDocs/Jan2026QHL/2008670.pdf","H")</f>
        <v>H</v>
      </c>
      <c r="W79" s="7" t="s">
        <v>0</v>
      </c>
      <c r="X79" s="7" t="s">
        <v>0</v>
      </c>
      <c r="Y79" s="7" t="s">
        <v>0</v>
      </c>
      <c r="Z79" s="8">
        <v>46042</v>
      </c>
    </row>
    <row r="80" spans="1:26" ht="45" x14ac:dyDescent="0.25">
      <c r="A80" s="6" t="s">
        <v>245</v>
      </c>
      <c r="B80" s="6" t="s">
        <v>246</v>
      </c>
      <c r="C80" s="6" t="s">
        <v>247</v>
      </c>
      <c r="D80" s="7" t="s">
        <v>0</v>
      </c>
      <c r="E80" s="7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7" t="s">
        <v>0</v>
      </c>
      <c r="P80" s="7" t="s">
        <v>0</v>
      </c>
      <c r="Q80" s="7" t="s">
        <v>0</v>
      </c>
      <c r="R80" s="7" t="s">
        <v>0</v>
      </c>
      <c r="S80" s="7" t="s">
        <v>34</v>
      </c>
      <c r="T80" s="7" t="s">
        <v>0</v>
      </c>
      <c r="U80" s="7" t="s">
        <v>0</v>
      </c>
      <c r="V80" s="16" t="str">
        <f>HYPERLINK("http://www.aruplab.com/Testing-Information/resources/HotLines/HotLineDocs/Jan2026QHL/2010168.pdf","H")</f>
        <v>H</v>
      </c>
      <c r="W80" s="7" t="s">
        <v>0</v>
      </c>
      <c r="X80" s="7" t="s">
        <v>0</v>
      </c>
      <c r="Y80" s="7" t="s">
        <v>0</v>
      </c>
      <c r="Z80" s="8">
        <v>46042</v>
      </c>
    </row>
    <row r="81" spans="1:26" ht="165" x14ac:dyDescent="0.25">
      <c r="A81" s="6" t="s">
        <v>248</v>
      </c>
      <c r="B81" s="6" t="s">
        <v>249</v>
      </c>
      <c r="C81" s="6" t="s">
        <v>250</v>
      </c>
      <c r="D81" s="7" t="s">
        <v>0</v>
      </c>
      <c r="E81" s="7" t="s">
        <v>0</v>
      </c>
      <c r="F81" s="7" t="s">
        <v>34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7" t="s">
        <v>0</v>
      </c>
      <c r="P81" s="7" t="s">
        <v>0</v>
      </c>
      <c r="Q81" s="7" t="s">
        <v>0</v>
      </c>
      <c r="R81" s="7" t="s">
        <v>0</v>
      </c>
      <c r="S81" s="7" t="s">
        <v>0</v>
      </c>
      <c r="T81" s="7" t="s">
        <v>0</v>
      </c>
      <c r="U81" s="7" t="s">
        <v>0</v>
      </c>
      <c r="V81" s="16" t="str">
        <f>HYPERLINK("http://www.aruplab.com/Testing-Information/resources/HotLines/HotLineDocs/Jan2026QHL/2011164.pdf","H")</f>
        <v>H</v>
      </c>
      <c r="W81" s="7" t="s">
        <v>0</v>
      </c>
      <c r="X81" s="7" t="s">
        <v>0</v>
      </c>
      <c r="Y81" s="7" t="s">
        <v>0</v>
      </c>
      <c r="Z81" s="8">
        <v>46042</v>
      </c>
    </row>
    <row r="82" spans="1:26" ht="75" x14ac:dyDescent="0.25">
      <c r="A82" s="6" t="s">
        <v>251</v>
      </c>
      <c r="B82" s="6" t="s">
        <v>252</v>
      </c>
      <c r="C82" s="6" t="s">
        <v>253</v>
      </c>
      <c r="D82" s="7" t="s">
        <v>0</v>
      </c>
      <c r="E82" s="7" t="s">
        <v>0</v>
      </c>
      <c r="F82" s="7" t="s">
        <v>0</v>
      </c>
      <c r="G82" s="7" t="s">
        <v>0</v>
      </c>
      <c r="H82" s="7" t="s">
        <v>0</v>
      </c>
      <c r="I82" s="7" t="s">
        <v>34</v>
      </c>
      <c r="J82" s="7" t="s">
        <v>34</v>
      </c>
      <c r="K82" s="7" t="s">
        <v>34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  <c r="S82" s="7" t="s">
        <v>0</v>
      </c>
      <c r="T82" s="7" t="s">
        <v>0</v>
      </c>
      <c r="U82" s="7" t="s">
        <v>0</v>
      </c>
      <c r="V82" s="16" t="str">
        <f>HYPERLINK("http://www.aruplab.com/Testing-Information/resources/HotLines/HotLineDocs/Jan2026QHL/2011304.pdf","H")</f>
        <v>H</v>
      </c>
      <c r="W82" s="7" t="s">
        <v>0</v>
      </c>
      <c r="X82" s="7" t="s">
        <v>0</v>
      </c>
      <c r="Y82" s="7" t="s">
        <v>0</v>
      </c>
      <c r="Z82" s="8">
        <v>46042</v>
      </c>
    </row>
    <row r="83" spans="1:26" ht="45" x14ac:dyDescent="0.25">
      <c r="A83" s="6" t="s">
        <v>254</v>
      </c>
      <c r="B83" s="6" t="s">
        <v>255</v>
      </c>
      <c r="C83" s="6" t="s">
        <v>256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34</v>
      </c>
      <c r="J83" s="7" t="s">
        <v>34</v>
      </c>
      <c r="K83" s="7" t="s">
        <v>34</v>
      </c>
      <c r="L83" s="7" t="s">
        <v>0</v>
      </c>
      <c r="M83" s="7" t="s">
        <v>0</v>
      </c>
      <c r="N83" s="7" t="s">
        <v>0</v>
      </c>
      <c r="O83" s="7" t="s">
        <v>0</v>
      </c>
      <c r="P83" s="7" t="s">
        <v>0</v>
      </c>
      <c r="Q83" s="7" t="s">
        <v>0</v>
      </c>
      <c r="R83" s="7" t="s">
        <v>0</v>
      </c>
      <c r="S83" s="7" t="s">
        <v>0</v>
      </c>
      <c r="T83" s="7" t="s">
        <v>0</v>
      </c>
      <c r="U83" s="7" t="s">
        <v>0</v>
      </c>
      <c r="V83" s="16" t="str">
        <f>HYPERLINK("http://www.aruplab.com/Testing-Information/resources/HotLines/HotLineDocs/Jan2026QHL/2011478.pdf","H")</f>
        <v>H</v>
      </c>
      <c r="W83" s="7" t="s">
        <v>0</v>
      </c>
      <c r="X83" s="7" t="s">
        <v>0</v>
      </c>
      <c r="Y83" s="7" t="s">
        <v>0</v>
      </c>
      <c r="Z83" s="8">
        <v>46042</v>
      </c>
    </row>
    <row r="84" spans="1:26" ht="30" x14ac:dyDescent="0.25">
      <c r="A84" s="6" t="s">
        <v>257</v>
      </c>
      <c r="B84" s="6" t="s">
        <v>258</v>
      </c>
      <c r="C84" s="6" t="s">
        <v>259</v>
      </c>
      <c r="D84" s="7" t="s">
        <v>0</v>
      </c>
      <c r="E84" s="7" t="s">
        <v>0</v>
      </c>
      <c r="F84" s="7" t="s">
        <v>0</v>
      </c>
      <c r="G84" s="7" t="s">
        <v>0</v>
      </c>
      <c r="H84" s="7" t="s">
        <v>0</v>
      </c>
      <c r="I84" s="7" t="s">
        <v>34</v>
      </c>
      <c r="J84" s="7" t="s">
        <v>34</v>
      </c>
      <c r="K84" s="7" t="s">
        <v>0</v>
      </c>
      <c r="L84" s="7" t="s">
        <v>34</v>
      </c>
      <c r="M84" s="7" t="s">
        <v>0</v>
      </c>
      <c r="N84" s="7" t="s">
        <v>0</v>
      </c>
      <c r="O84" s="7" t="s">
        <v>0</v>
      </c>
      <c r="P84" s="7" t="s">
        <v>0</v>
      </c>
      <c r="Q84" s="7" t="s">
        <v>0</v>
      </c>
      <c r="R84" s="7" t="s">
        <v>0</v>
      </c>
      <c r="S84" s="7" t="s">
        <v>0</v>
      </c>
      <c r="T84" s="7" t="s">
        <v>0</v>
      </c>
      <c r="U84" s="7" t="s">
        <v>0</v>
      </c>
      <c r="V84" s="16" t="str">
        <f>HYPERLINK("http://www.aruplab.com/Testing-Information/resources/HotLines/HotLineDocs/Jan2026QHL/2011479.pdf","H")</f>
        <v>H</v>
      </c>
      <c r="W84" s="16" t="str">
        <f>HYPERLINK("http://www.aruplab.com/Testing-Information/resources/HotLines/TDMix/Jan2026QHL/2011479.xlsx","T")</f>
        <v>T</v>
      </c>
      <c r="X84" s="7" t="s">
        <v>0</v>
      </c>
      <c r="Y84" s="7" t="s">
        <v>0</v>
      </c>
      <c r="Z84" s="8">
        <v>46042</v>
      </c>
    </row>
    <row r="85" spans="1:26" ht="30" x14ac:dyDescent="0.25">
      <c r="A85" s="6" t="s">
        <v>260</v>
      </c>
      <c r="B85" s="6" t="s">
        <v>261</v>
      </c>
      <c r="C85" s="6" t="s">
        <v>262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34</v>
      </c>
      <c r="J85" s="7" t="s">
        <v>0</v>
      </c>
      <c r="K85" s="7" t="s">
        <v>0</v>
      </c>
      <c r="L85" s="7" t="s">
        <v>0</v>
      </c>
      <c r="M85" s="7" t="s">
        <v>0</v>
      </c>
      <c r="N85" s="7" t="s">
        <v>0</v>
      </c>
      <c r="O85" s="7" t="s">
        <v>0</v>
      </c>
      <c r="P85" s="7" t="s">
        <v>0</v>
      </c>
      <c r="Q85" s="7" t="s">
        <v>0</v>
      </c>
      <c r="R85" s="7" t="s">
        <v>0</v>
      </c>
      <c r="S85" s="7" t="s">
        <v>0</v>
      </c>
      <c r="T85" s="7" t="s">
        <v>0</v>
      </c>
      <c r="U85" s="7" t="s">
        <v>0</v>
      </c>
      <c r="V85" s="16" t="str">
        <f>HYPERLINK("http://www.aruplab.com/Testing-Information/resources/HotLines/HotLineDocs/Jan2026QHL/2011480.pdf","H")</f>
        <v>H</v>
      </c>
      <c r="W85" s="7" t="s">
        <v>0</v>
      </c>
      <c r="X85" s="7" t="s">
        <v>0</v>
      </c>
      <c r="Y85" s="7" t="s">
        <v>0</v>
      </c>
      <c r="Z85" s="8">
        <v>46042</v>
      </c>
    </row>
    <row r="86" spans="1:26" ht="30" x14ac:dyDescent="0.25">
      <c r="A86" s="6" t="s">
        <v>263</v>
      </c>
      <c r="B86" s="6" t="s">
        <v>264</v>
      </c>
      <c r="C86" s="6" t="s">
        <v>265</v>
      </c>
      <c r="D86" s="7" t="s">
        <v>0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34</v>
      </c>
      <c r="J86" s="7" t="s">
        <v>34</v>
      </c>
      <c r="K86" s="7" t="s">
        <v>0</v>
      </c>
      <c r="L86" s="7" t="s">
        <v>0</v>
      </c>
      <c r="M86" s="7" t="s">
        <v>0</v>
      </c>
      <c r="N86" s="7" t="s">
        <v>0</v>
      </c>
      <c r="O86" s="7" t="s">
        <v>0</v>
      </c>
      <c r="P86" s="7" t="s">
        <v>0</v>
      </c>
      <c r="Q86" s="7" t="s">
        <v>0</v>
      </c>
      <c r="R86" s="7" t="s">
        <v>0</v>
      </c>
      <c r="S86" s="7" t="s">
        <v>0</v>
      </c>
      <c r="T86" s="7" t="s">
        <v>0</v>
      </c>
      <c r="U86" s="7" t="s">
        <v>0</v>
      </c>
      <c r="V86" s="16" t="str">
        <f>HYPERLINK("http://www.aruplab.com/Testing-Information/resources/HotLines/HotLineDocs/Jan2026QHL/2011481.pdf","H")</f>
        <v>H</v>
      </c>
      <c r="W86" s="7" t="s">
        <v>0</v>
      </c>
      <c r="X86" s="7" t="s">
        <v>0</v>
      </c>
      <c r="Y86" s="7" t="s">
        <v>0</v>
      </c>
      <c r="Z86" s="8">
        <v>46042</v>
      </c>
    </row>
    <row r="87" spans="1:26" ht="30" x14ac:dyDescent="0.25">
      <c r="A87" s="6" t="s">
        <v>266</v>
      </c>
      <c r="B87" s="6" t="s">
        <v>267</v>
      </c>
      <c r="C87" s="6" t="s">
        <v>268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34</v>
      </c>
      <c r="J87" s="7" t="s">
        <v>34</v>
      </c>
      <c r="K87" s="7" t="s">
        <v>0</v>
      </c>
      <c r="L87" s="7" t="s">
        <v>0</v>
      </c>
      <c r="M87" s="7" t="s">
        <v>0</v>
      </c>
      <c r="N87" s="7" t="s">
        <v>0</v>
      </c>
      <c r="O87" s="7" t="s">
        <v>0</v>
      </c>
      <c r="P87" s="7" t="s">
        <v>0</v>
      </c>
      <c r="Q87" s="7" t="s">
        <v>0</v>
      </c>
      <c r="R87" s="7" t="s">
        <v>0</v>
      </c>
      <c r="S87" s="7" t="s">
        <v>0</v>
      </c>
      <c r="T87" s="7" t="s">
        <v>0</v>
      </c>
      <c r="U87" s="7" t="s">
        <v>0</v>
      </c>
      <c r="V87" s="16" t="str">
        <f>HYPERLINK("http://www.aruplab.com/Testing-Information/resources/HotLines/HotLineDocs/Jan2026QHL/2011482.pdf","H")</f>
        <v>H</v>
      </c>
      <c r="W87" s="7" t="s">
        <v>0</v>
      </c>
      <c r="X87" s="7" t="s">
        <v>0</v>
      </c>
      <c r="Y87" s="7" t="s">
        <v>0</v>
      </c>
      <c r="Z87" s="8">
        <v>46042</v>
      </c>
    </row>
    <row r="88" spans="1:26" ht="45" x14ac:dyDescent="0.25">
      <c r="A88" s="6" t="s">
        <v>269</v>
      </c>
      <c r="B88" s="6" t="s">
        <v>270</v>
      </c>
      <c r="C88" s="6" t="s">
        <v>271</v>
      </c>
      <c r="D88" s="7" t="s">
        <v>0</v>
      </c>
      <c r="E88" s="7" t="s">
        <v>0</v>
      </c>
      <c r="F88" s="7" t="s">
        <v>34</v>
      </c>
      <c r="G88" s="7" t="s">
        <v>0</v>
      </c>
      <c r="H88" s="7" t="s">
        <v>0</v>
      </c>
      <c r="I88" s="7" t="s">
        <v>0</v>
      </c>
      <c r="J88" s="7" t="s">
        <v>0</v>
      </c>
      <c r="K88" s="7" t="s">
        <v>0</v>
      </c>
      <c r="L88" s="7" t="s">
        <v>0</v>
      </c>
      <c r="M88" s="7" t="s">
        <v>0</v>
      </c>
      <c r="N88" s="7" t="s">
        <v>0</v>
      </c>
      <c r="O88" s="7" t="s">
        <v>0</v>
      </c>
      <c r="P88" s="7" t="s">
        <v>0</v>
      </c>
      <c r="Q88" s="7" t="s">
        <v>0</v>
      </c>
      <c r="R88" s="7" t="s">
        <v>0</v>
      </c>
      <c r="S88" s="7" t="s">
        <v>0</v>
      </c>
      <c r="T88" s="7" t="s">
        <v>0</v>
      </c>
      <c r="U88" s="7" t="s">
        <v>0</v>
      </c>
      <c r="V88" s="16" t="str">
        <f>HYPERLINK("http://www.aruplab.com/Testing-Information/resources/HotLines/HotLineDocs/Jan2026QHL/2012074.pdf","H")</f>
        <v>H</v>
      </c>
      <c r="W88" s="7" t="s">
        <v>0</v>
      </c>
      <c r="X88" s="7" t="s">
        <v>0</v>
      </c>
      <c r="Y88" s="7" t="s">
        <v>0</v>
      </c>
      <c r="Z88" s="8">
        <v>46042</v>
      </c>
    </row>
    <row r="89" spans="1:26" ht="60" x14ac:dyDescent="0.25">
      <c r="A89" s="6" t="s">
        <v>272</v>
      </c>
      <c r="B89" s="6" t="s">
        <v>273</v>
      </c>
      <c r="C89" s="6" t="s">
        <v>274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7" t="s">
        <v>0</v>
      </c>
      <c r="K89" s="7" t="s">
        <v>0</v>
      </c>
      <c r="L89" s="7" t="s">
        <v>0</v>
      </c>
      <c r="M89" s="7" t="s">
        <v>0</v>
      </c>
      <c r="N89" s="7" t="s">
        <v>0</v>
      </c>
      <c r="O89" s="7" t="s">
        <v>0</v>
      </c>
      <c r="P89" s="7" t="s">
        <v>0</v>
      </c>
      <c r="Q89" s="7" t="s">
        <v>0</v>
      </c>
      <c r="R89" s="7" t="s">
        <v>0</v>
      </c>
      <c r="S89" s="7" t="s">
        <v>34</v>
      </c>
      <c r="T89" s="7" t="s">
        <v>0</v>
      </c>
      <c r="U89" s="7" t="s">
        <v>0</v>
      </c>
      <c r="V89" s="16" t="str">
        <f>HYPERLINK("http://www.aruplab.com/Testing-Information/resources/HotLines/HotLineDocs/Jan2026QHL/2013089.pdf","H")</f>
        <v>H</v>
      </c>
      <c r="W89" s="7" t="s">
        <v>0</v>
      </c>
      <c r="X89" s="7" t="s">
        <v>0</v>
      </c>
      <c r="Y89" s="7" t="s">
        <v>0</v>
      </c>
      <c r="Z89" s="8">
        <v>46042</v>
      </c>
    </row>
    <row r="90" spans="1:26" ht="60" x14ac:dyDescent="0.25">
      <c r="A90" s="6" t="s">
        <v>275</v>
      </c>
      <c r="B90" s="6" t="s">
        <v>276</v>
      </c>
      <c r="C90" s="6" t="s">
        <v>277</v>
      </c>
      <c r="D90" s="7" t="s">
        <v>0</v>
      </c>
      <c r="E90" s="7" t="s">
        <v>0</v>
      </c>
      <c r="F90" s="7" t="s">
        <v>0</v>
      </c>
      <c r="G90" s="7" t="s">
        <v>0</v>
      </c>
      <c r="H90" s="7" t="s">
        <v>0</v>
      </c>
      <c r="I90" s="7" t="s">
        <v>0</v>
      </c>
      <c r="J90" s="7" t="s">
        <v>0</v>
      </c>
      <c r="K90" s="7" t="s">
        <v>0</v>
      </c>
      <c r="L90" s="7" t="s">
        <v>0</v>
      </c>
      <c r="M90" s="7" t="s">
        <v>0</v>
      </c>
      <c r="N90" s="7" t="s">
        <v>0</v>
      </c>
      <c r="O90" s="7" t="s">
        <v>34</v>
      </c>
      <c r="P90" s="7" t="s">
        <v>0</v>
      </c>
      <c r="Q90" s="7" t="s">
        <v>0</v>
      </c>
      <c r="R90" s="7" t="s">
        <v>0</v>
      </c>
      <c r="S90" s="7" t="s">
        <v>0</v>
      </c>
      <c r="T90" s="7" t="s">
        <v>0</v>
      </c>
      <c r="U90" s="7" t="s">
        <v>0</v>
      </c>
      <c r="V90" s="16" t="str">
        <f>HYPERLINK("http://www.aruplab.com/Testing-Information/resources/HotLines/HotLineDocs/Jan2026QHL/2013436.pdf","H")</f>
        <v>H</v>
      </c>
      <c r="W90" s="16" t="str">
        <f>HYPERLINK("http://www.aruplab.com/Testing-Information/resources/HotLines/TDMix/Jan2026QHL/2013436.xlsx","T")</f>
        <v>T</v>
      </c>
      <c r="X90" s="16" t="str">
        <f>HYPERLINK("http://www.aruplab.com/Testing-Information/resources/HotLines/Sample_Reports/Jan2026QHL/2013436_Spinal Muscular Atrophy SMA Copy Number Analysis_SMA DD.pdf","E")</f>
        <v>E</v>
      </c>
      <c r="Y90" s="7" t="s">
        <v>0</v>
      </c>
      <c r="Z90" s="8">
        <v>46042</v>
      </c>
    </row>
    <row r="91" spans="1:26" ht="45" x14ac:dyDescent="0.25">
      <c r="A91" s="6" t="s">
        <v>278</v>
      </c>
      <c r="B91" s="6" t="s">
        <v>279</v>
      </c>
      <c r="C91" s="6" t="s">
        <v>280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7" t="s">
        <v>0</v>
      </c>
      <c r="L91" s="7" t="s">
        <v>0</v>
      </c>
      <c r="M91" s="7" t="s">
        <v>0</v>
      </c>
      <c r="N91" s="7" t="s">
        <v>0</v>
      </c>
      <c r="O91" s="7" t="s">
        <v>0</v>
      </c>
      <c r="P91" s="7" t="s">
        <v>0</v>
      </c>
      <c r="Q91" s="7" t="s">
        <v>0</v>
      </c>
      <c r="R91" s="7" t="s">
        <v>0</v>
      </c>
      <c r="S91" s="7" t="s">
        <v>0</v>
      </c>
      <c r="T91" s="7" t="s">
        <v>34</v>
      </c>
      <c r="U91" s="7" t="s">
        <v>0</v>
      </c>
      <c r="V91" s="16" t="str">
        <f>HYPERLINK("http://www.aruplab.com/Testing-Information/resources/HotLines/HotLineDocs/Jan2026QHL/2025.12.05 Jan Quarterly Hotline Inactivations.pdf","H")</f>
        <v>H</v>
      </c>
      <c r="W91" s="7" t="s">
        <v>0</v>
      </c>
      <c r="X91" s="7" t="s">
        <v>0</v>
      </c>
      <c r="Y91" s="7" t="s">
        <v>0</v>
      </c>
      <c r="Z91" s="8">
        <v>46042</v>
      </c>
    </row>
    <row r="92" spans="1:26" ht="45" x14ac:dyDescent="0.25">
      <c r="A92" s="6" t="s">
        <v>281</v>
      </c>
      <c r="B92" s="6" t="s">
        <v>282</v>
      </c>
      <c r="C92" s="6" t="s">
        <v>283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7" t="s">
        <v>0</v>
      </c>
      <c r="P92" s="7" t="s">
        <v>0</v>
      </c>
      <c r="Q92" s="7" t="s">
        <v>0</v>
      </c>
      <c r="R92" s="7" t="s">
        <v>0</v>
      </c>
      <c r="S92" s="7" t="s">
        <v>34</v>
      </c>
      <c r="T92" s="7" t="s">
        <v>0</v>
      </c>
      <c r="U92" s="7" t="s">
        <v>0</v>
      </c>
      <c r="V92" s="16" t="str">
        <f>HYPERLINK("http://www.aruplab.com/Testing-Information/resources/HotLines/HotLineDocs/Jan2026QHL/2013518.pdf","H")</f>
        <v>H</v>
      </c>
      <c r="W92" s="7" t="s">
        <v>0</v>
      </c>
      <c r="X92" s="7" t="s">
        <v>0</v>
      </c>
      <c r="Y92" s="7" t="s">
        <v>0</v>
      </c>
      <c r="Z92" s="8">
        <v>46042</v>
      </c>
    </row>
    <row r="93" spans="1:26" ht="30" x14ac:dyDescent="0.25">
      <c r="A93" s="6" t="s">
        <v>284</v>
      </c>
      <c r="B93" s="6" t="s">
        <v>285</v>
      </c>
      <c r="C93" s="6" t="s">
        <v>286</v>
      </c>
      <c r="D93" s="7" t="s">
        <v>0</v>
      </c>
      <c r="E93" s="7" t="s">
        <v>0</v>
      </c>
      <c r="F93" s="7" t="s">
        <v>34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 t="s">
        <v>0</v>
      </c>
      <c r="N93" s="7" t="s">
        <v>0</v>
      </c>
      <c r="O93" s="7" t="s">
        <v>0</v>
      </c>
      <c r="P93" s="7" t="s">
        <v>0</v>
      </c>
      <c r="Q93" s="7" t="s">
        <v>0</v>
      </c>
      <c r="R93" s="7" t="s">
        <v>0</v>
      </c>
      <c r="S93" s="7" t="s">
        <v>0</v>
      </c>
      <c r="T93" s="7" t="s">
        <v>0</v>
      </c>
      <c r="U93" s="7" t="s">
        <v>0</v>
      </c>
      <c r="V93" s="16" t="str">
        <f>HYPERLINK("http://www.aruplab.com/Testing-Information/resources/HotLines/HotLineDocs/Jan2026QHL/2013798.pdf","H")</f>
        <v>H</v>
      </c>
      <c r="W93" s="7" t="s">
        <v>0</v>
      </c>
      <c r="X93" s="7" t="s">
        <v>0</v>
      </c>
      <c r="Y93" s="7" t="s">
        <v>0</v>
      </c>
      <c r="Z93" s="8">
        <v>46042</v>
      </c>
    </row>
    <row r="94" spans="1:26" ht="90" x14ac:dyDescent="0.25">
      <c r="A94" s="6" t="s">
        <v>287</v>
      </c>
      <c r="B94" s="6" t="s">
        <v>288</v>
      </c>
      <c r="C94" s="6" t="s">
        <v>289</v>
      </c>
      <c r="D94" s="7" t="s">
        <v>0</v>
      </c>
      <c r="E94" s="7" t="s">
        <v>0</v>
      </c>
      <c r="F94" s="7" t="s">
        <v>34</v>
      </c>
      <c r="G94" s="7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7" t="s">
        <v>0</v>
      </c>
      <c r="N94" s="7" t="s">
        <v>0</v>
      </c>
      <c r="O94" s="7" t="s">
        <v>0</v>
      </c>
      <c r="P94" s="7" t="s">
        <v>0</v>
      </c>
      <c r="Q94" s="7" t="s">
        <v>0</v>
      </c>
      <c r="R94" s="7" t="s">
        <v>0</v>
      </c>
      <c r="S94" s="7" t="s">
        <v>0</v>
      </c>
      <c r="T94" s="7" t="s">
        <v>0</v>
      </c>
      <c r="U94" s="7" t="s">
        <v>0</v>
      </c>
      <c r="V94" s="16" t="str">
        <f>HYPERLINK("http://www.aruplab.com/Testing-Information/resources/HotLines/HotLineDocs/Jan2026QHL/2013921.pdf","H")</f>
        <v>H</v>
      </c>
      <c r="W94" s="7" t="s">
        <v>0</v>
      </c>
      <c r="X94" s="7" t="s">
        <v>0</v>
      </c>
      <c r="Y94" s="7" t="s">
        <v>0</v>
      </c>
      <c r="Z94" s="8">
        <v>46042</v>
      </c>
    </row>
    <row r="95" spans="1:26" ht="75" x14ac:dyDescent="0.25">
      <c r="A95" s="6" t="s">
        <v>290</v>
      </c>
      <c r="B95" s="6" t="s">
        <v>291</v>
      </c>
      <c r="C95" s="6" t="s">
        <v>292</v>
      </c>
      <c r="D95" s="7" t="s">
        <v>0</v>
      </c>
      <c r="E95" s="7" t="s">
        <v>0</v>
      </c>
      <c r="F95" s="7" t="s">
        <v>0</v>
      </c>
      <c r="G95" s="7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7" t="s">
        <v>0</v>
      </c>
      <c r="N95" s="7" t="s">
        <v>0</v>
      </c>
      <c r="O95" s="7" t="s">
        <v>34</v>
      </c>
      <c r="P95" s="7" t="s">
        <v>0</v>
      </c>
      <c r="Q95" s="7" t="s">
        <v>0</v>
      </c>
      <c r="R95" s="7" t="s">
        <v>0</v>
      </c>
      <c r="S95" s="7" t="s">
        <v>0</v>
      </c>
      <c r="T95" s="7" t="s">
        <v>0</v>
      </c>
      <c r="U95" s="7" t="s">
        <v>0</v>
      </c>
      <c r="V95" s="16" t="str">
        <f>HYPERLINK("http://www.aruplab.com/Testing-Information/resources/HotLines/HotLineDocs/Jan2026QHL/3000258.pdf","H")</f>
        <v>H</v>
      </c>
      <c r="W95" s="16" t="str">
        <f>HYPERLINK("http://www.aruplab.com/Testing-Information/resources/HotLines/TDMix/Jan2026QHL/3000258.xlsx","T")</f>
        <v>T</v>
      </c>
      <c r="X95" s="7" t="s">
        <v>0</v>
      </c>
      <c r="Y95" s="7" t="s">
        <v>0</v>
      </c>
      <c r="Z95" s="8">
        <v>46042</v>
      </c>
    </row>
    <row r="96" spans="1:26" ht="45" x14ac:dyDescent="0.25">
      <c r="A96" s="6" t="s">
        <v>293</v>
      </c>
      <c r="B96" s="6" t="s">
        <v>294</v>
      </c>
      <c r="C96" s="6" t="s">
        <v>295</v>
      </c>
      <c r="D96" s="7" t="s">
        <v>0</v>
      </c>
      <c r="E96" s="7" t="s">
        <v>0</v>
      </c>
      <c r="F96" s="7" t="s">
        <v>34</v>
      </c>
      <c r="G96" s="7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7" t="s">
        <v>0</v>
      </c>
      <c r="N96" s="7" t="s">
        <v>0</v>
      </c>
      <c r="O96" s="7" t="s">
        <v>0</v>
      </c>
      <c r="P96" s="7" t="s">
        <v>0</v>
      </c>
      <c r="Q96" s="7" t="s">
        <v>0</v>
      </c>
      <c r="R96" s="7" t="s">
        <v>0</v>
      </c>
      <c r="S96" s="7" t="s">
        <v>0</v>
      </c>
      <c r="T96" s="7" t="s">
        <v>0</v>
      </c>
      <c r="U96" s="7" t="s">
        <v>0</v>
      </c>
      <c r="V96" s="16" t="str">
        <f>HYPERLINK("http://www.aruplab.com/Testing-Information/resources/HotLines/HotLineDocs/Jan2026QHL/3000460.pdf","H")</f>
        <v>H</v>
      </c>
      <c r="W96" s="7" t="s">
        <v>0</v>
      </c>
      <c r="X96" s="7" t="s">
        <v>0</v>
      </c>
      <c r="Y96" s="7" t="s">
        <v>0</v>
      </c>
      <c r="Z96" s="8">
        <v>46042</v>
      </c>
    </row>
    <row r="97" spans="1:26" ht="30" x14ac:dyDescent="0.25">
      <c r="A97" s="6" t="s">
        <v>296</v>
      </c>
      <c r="B97" s="6" t="s">
        <v>297</v>
      </c>
      <c r="C97" s="6" t="s">
        <v>298</v>
      </c>
      <c r="D97" s="7" t="s">
        <v>0</v>
      </c>
      <c r="E97" s="7" t="s">
        <v>0</v>
      </c>
      <c r="F97" s="7" t="s">
        <v>34</v>
      </c>
      <c r="G97" s="7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7" t="s">
        <v>0</v>
      </c>
      <c r="N97" s="7" t="s">
        <v>0</v>
      </c>
      <c r="O97" s="7" t="s">
        <v>0</v>
      </c>
      <c r="P97" s="7" t="s">
        <v>0</v>
      </c>
      <c r="Q97" s="7" t="s">
        <v>0</v>
      </c>
      <c r="R97" s="7" t="s">
        <v>0</v>
      </c>
      <c r="S97" s="7" t="s">
        <v>0</v>
      </c>
      <c r="T97" s="7" t="s">
        <v>0</v>
      </c>
      <c r="U97" s="7" t="s">
        <v>0</v>
      </c>
      <c r="V97" s="16" t="str">
        <f>HYPERLINK("http://www.aruplab.com/Testing-Information/resources/HotLines/HotLineDocs/Jan2026QHL/3000479.pdf","H")</f>
        <v>H</v>
      </c>
      <c r="W97" s="7" t="s">
        <v>0</v>
      </c>
      <c r="X97" s="7" t="s">
        <v>0</v>
      </c>
      <c r="Y97" s="7" t="s">
        <v>0</v>
      </c>
      <c r="Z97" s="8">
        <v>46042</v>
      </c>
    </row>
    <row r="98" spans="1:26" ht="30" x14ac:dyDescent="0.25">
      <c r="A98" s="6" t="s">
        <v>299</v>
      </c>
      <c r="B98" s="6" t="s">
        <v>300</v>
      </c>
      <c r="C98" s="6" t="s">
        <v>301</v>
      </c>
      <c r="D98" s="7" t="s">
        <v>0</v>
      </c>
      <c r="E98" s="7" t="s">
        <v>0</v>
      </c>
      <c r="F98" s="7" t="s">
        <v>0</v>
      </c>
      <c r="G98" s="7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7" t="s">
        <v>0</v>
      </c>
      <c r="N98" s="7" t="s">
        <v>0</v>
      </c>
      <c r="O98" s="7" t="s">
        <v>0</v>
      </c>
      <c r="P98" s="7" t="s">
        <v>0</v>
      </c>
      <c r="Q98" s="7" t="s">
        <v>0</v>
      </c>
      <c r="R98" s="7" t="s">
        <v>0</v>
      </c>
      <c r="S98" s="7" t="s">
        <v>34</v>
      </c>
      <c r="T98" s="7" t="s">
        <v>0</v>
      </c>
      <c r="U98" s="7" t="s">
        <v>0</v>
      </c>
      <c r="V98" s="16" t="str">
        <f>HYPERLINK("http://www.aruplab.com/Testing-Information/resources/HotLines/HotLineDocs/Jan2026QHL/3000523.pdf","H")</f>
        <v>H</v>
      </c>
      <c r="W98" s="7" t="s">
        <v>0</v>
      </c>
      <c r="X98" s="7" t="s">
        <v>0</v>
      </c>
      <c r="Y98" s="7" t="s">
        <v>0</v>
      </c>
      <c r="Z98" s="8">
        <v>46042</v>
      </c>
    </row>
    <row r="99" spans="1:26" ht="45" x14ac:dyDescent="0.25">
      <c r="A99" s="6" t="s">
        <v>302</v>
      </c>
      <c r="B99" s="6" t="s">
        <v>303</v>
      </c>
      <c r="C99" s="6" t="s">
        <v>304</v>
      </c>
      <c r="D99" s="7" t="s">
        <v>0</v>
      </c>
      <c r="E99" s="7" t="s">
        <v>0</v>
      </c>
      <c r="F99" s="7" t="s">
        <v>34</v>
      </c>
      <c r="G99" s="7" t="s">
        <v>0</v>
      </c>
      <c r="H99" s="7" t="s">
        <v>0</v>
      </c>
      <c r="I99" s="7" t="s">
        <v>0</v>
      </c>
      <c r="J99" s="7" t="s">
        <v>0</v>
      </c>
      <c r="K99" s="7" t="s">
        <v>0</v>
      </c>
      <c r="L99" s="7" t="s">
        <v>0</v>
      </c>
      <c r="M99" s="7" t="s">
        <v>0</v>
      </c>
      <c r="N99" s="7" t="s">
        <v>0</v>
      </c>
      <c r="O99" s="7" t="s">
        <v>0</v>
      </c>
      <c r="P99" s="7" t="s">
        <v>0</v>
      </c>
      <c r="Q99" s="7" t="s">
        <v>0</v>
      </c>
      <c r="R99" s="7" t="s">
        <v>0</v>
      </c>
      <c r="S99" s="7" t="s">
        <v>0</v>
      </c>
      <c r="T99" s="7" t="s">
        <v>0</v>
      </c>
      <c r="U99" s="7" t="s">
        <v>0</v>
      </c>
      <c r="V99" s="16" t="str">
        <f>HYPERLINK("http://www.aruplab.com/Testing-Information/resources/HotLines/HotLineDocs/Jan2026QHL/3002463.pdf","H")</f>
        <v>H</v>
      </c>
      <c r="W99" s="7" t="s">
        <v>0</v>
      </c>
      <c r="X99" s="7" t="s">
        <v>0</v>
      </c>
      <c r="Y99" s="7" t="s">
        <v>0</v>
      </c>
      <c r="Z99" s="8">
        <v>46042</v>
      </c>
    </row>
    <row r="100" spans="1:26" ht="30" x14ac:dyDescent="0.25">
      <c r="A100" s="6" t="s">
        <v>305</v>
      </c>
      <c r="B100" s="6" t="s">
        <v>306</v>
      </c>
      <c r="C100" s="6" t="s">
        <v>307</v>
      </c>
      <c r="D100" s="7" t="s">
        <v>0</v>
      </c>
      <c r="E100" s="7" t="s">
        <v>0</v>
      </c>
      <c r="F100" s="7" t="s">
        <v>34</v>
      </c>
      <c r="G100" s="7" t="s">
        <v>0</v>
      </c>
      <c r="H100" s="7" t="s">
        <v>0</v>
      </c>
      <c r="I100" s="7" t="s">
        <v>0</v>
      </c>
      <c r="J100" s="7" t="s">
        <v>0</v>
      </c>
      <c r="K100" s="7" t="s">
        <v>0</v>
      </c>
      <c r="L100" s="7" t="s">
        <v>0</v>
      </c>
      <c r="M100" s="7" t="s">
        <v>0</v>
      </c>
      <c r="N100" s="7" t="s">
        <v>0</v>
      </c>
      <c r="O100" s="7" t="s">
        <v>0</v>
      </c>
      <c r="P100" s="7" t="s">
        <v>0</v>
      </c>
      <c r="Q100" s="7" t="s">
        <v>0</v>
      </c>
      <c r="R100" s="7" t="s">
        <v>0</v>
      </c>
      <c r="S100" s="7" t="s">
        <v>0</v>
      </c>
      <c r="T100" s="7" t="s">
        <v>0</v>
      </c>
      <c r="U100" s="7" t="s">
        <v>0</v>
      </c>
      <c r="V100" s="16" t="str">
        <f>HYPERLINK("http://www.aruplab.com/Testing-Information/resources/HotLines/HotLineDocs/Jan2026QHL/3002581.pdf","H")</f>
        <v>H</v>
      </c>
      <c r="W100" s="7" t="s">
        <v>0</v>
      </c>
      <c r="X100" s="7" t="s">
        <v>0</v>
      </c>
      <c r="Y100" s="7" t="s">
        <v>0</v>
      </c>
      <c r="Z100" s="8">
        <v>46042</v>
      </c>
    </row>
    <row r="101" spans="1:26" ht="30" x14ac:dyDescent="0.25">
      <c r="A101" s="6" t="s">
        <v>308</v>
      </c>
      <c r="B101" s="6" t="s">
        <v>309</v>
      </c>
      <c r="C101" s="6" t="s">
        <v>310</v>
      </c>
      <c r="D101" s="7" t="s">
        <v>0</v>
      </c>
      <c r="E101" s="7" t="s">
        <v>0</v>
      </c>
      <c r="F101" s="7" t="s">
        <v>34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 t="s">
        <v>0</v>
      </c>
      <c r="N101" s="7" t="s">
        <v>0</v>
      </c>
      <c r="O101" s="7" t="s">
        <v>0</v>
      </c>
      <c r="P101" s="7" t="s">
        <v>0</v>
      </c>
      <c r="Q101" s="7" t="s">
        <v>0</v>
      </c>
      <c r="R101" s="7" t="s">
        <v>0</v>
      </c>
      <c r="S101" s="7" t="s">
        <v>0</v>
      </c>
      <c r="T101" s="7" t="s">
        <v>0</v>
      </c>
      <c r="U101" s="7" t="s">
        <v>0</v>
      </c>
      <c r="V101" s="16" t="str">
        <f>HYPERLINK("http://www.aruplab.com/Testing-Information/resources/HotLines/HotLineDocs/Jan2026QHL/3002582.pdf","H")</f>
        <v>H</v>
      </c>
      <c r="W101" s="7" t="s">
        <v>0</v>
      </c>
      <c r="X101" s="7" t="s">
        <v>0</v>
      </c>
      <c r="Y101" s="7" t="s">
        <v>0</v>
      </c>
      <c r="Z101" s="8">
        <v>46042</v>
      </c>
    </row>
    <row r="102" spans="1:26" ht="60" x14ac:dyDescent="0.25">
      <c r="A102" s="6" t="s">
        <v>311</v>
      </c>
      <c r="B102" s="6" t="s">
        <v>312</v>
      </c>
      <c r="C102" s="6" t="s">
        <v>313</v>
      </c>
      <c r="D102" s="7" t="s">
        <v>0</v>
      </c>
      <c r="E102" s="7" t="s">
        <v>0</v>
      </c>
      <c r="F102" s="7" t="s">
        <v>34</v>
      </c>
      <c r="G102" s="7" t="s">
        <v>0</v>
      </c>
      <c r="H102" s="7" t="s">
        <v>0</v>
      </c>
      <c r="I102" s="7" t="s">
        <v>0</v>
      </c>
      <c r="J102" s="7" t="s">
        <v>0</v>
      </c>
      <c r="K102" s="7" t="s">
        <v>0</v>
      </c>
      <c r="L102" s="7" t="s">
        <v>0</v>
      </c>
      <c r="M102" s="7" t="s">
        <v>0</v>
      </c>
      <c r="N102" s="7" t="s">
        <v>0</v>
      </c>
      <c r="O102" s="7" t="s">
        <v>0</v>
      </c>
      <c r="P102" s="7" t="s">
        <v>0</v>
      </c>
      <c r="Q102" s="7" t="s">
        <v>0</v>
      </c>
      <c r="R102" s="7" t="s">
        <v>0</v>
      </c>
      <c r="S102" s="7" t="s">
        <v>0</v>
      </c>
      <c r="T102" s="7" t="s">
        <v>0</v>
      </c>
      <c r="U102" s="7" t="s">
        <v>0</v>
      </c>
      <c r="V102" s="16" t="str">
        <f>HYPERLINK("http://www.aruplab.com/Testing-Information/resources/HotLines/HotLineDocs/Jan2026QHL/3002583.pdf","H")</f>
        <v>H</v>
      </c>
      <c r="W102" s="7" t="s">
        <v>0</v>
      </c>
      <c r="X102" s="7" t="s">
        <v>0</v>
      </c>
      <c r="Y102" s="7" t="s">
        <v>0</v>
      </c>
      <c r="Z102" s="8">
        <v>46042</v>
      </c>
    </row>
    <row r="103" spans="1:26" ht="60" x14ac:dyDescent="0.25">
      <c r="A103" s="6" t="s">
        <v>314</v>
      </c>
      <c r="B103" s="6" t="s">
        <v>315</v>
      </c>
      <c r="C103" s="6" t="s">
        <v>316</v>
      </c>
      <c r="D103" s="7" t="s">
        <v>0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 t="s">
        <v>0</v>
      </c>
      <c r="N103" s="7" t="s">
        <v>0</v>
      </c>
      <c r="O103" s="7" t="s">
        <v>34</v>
      </c>
      <c r="P103" s="7" t="s">
        <v>0</v>
      </c>
      <c r="Q103" s="7" t="s">
        <v>0</v>
      </c>
      <c r="R103" s="7" t="s">
        <v>0</v>
      </c>
      <c r="S103" s="7" t="s">
        <v>0</v>
      </c>
      <c r="T103" s="7" t="s">
        <v>0</v>
      </c>
      <c r="U103" s="7" t="s">
        <v>0</v>
      </c>
      <c r="V103" s="16" t="str">
        <f>HYPERLINK("http://www.aruplab.com/Testing-Information/resources/HotLines/HotLineDocs/Jan2026QHL/3005393.pdf","H")</f>
        <v>H</v>
      </c>
      <c r="W103" s="7" t="s">
        <v>0</v>
      </c>
      <c r="X103" s="16" t="str">
        <f>HYPERLINK("http://www.aruplab.com/Testing-Information/resources/HotLines/Sample_Reports/Jan2026QHL/3005393_ Chimerism Posttransplant Sorted Cells T Cells_STRPOST-T.pdf","E")</f>
        <v>E</v>
      </c>
      <c r="Y103" s="7" t="s">
        <v>0</v>
      </c>
      <c r="Z103" s="8">
        <v>46042</v>
      </c>
    </row>
    <row r="104" spans="1:26" ht="60" x14ac:dyDescent="0.25">
      <c r="A104" s="6" t="s">
        <v>317</v>
      </c>
      <c r="B104" s="6" t="s">
        <v>318</v>
      </c>
      <c r="C104" s="6" t="s">
        <v>319</v>
      </c>
      <c r="D104" s="7" t="s">
        <v>0</v>
      </c>
      <c r="E104" s="7" t="s">
        <v>0</v>
      </c>
      <c r="F104" s="7" t="s">
        <v>0</v>
      </c>
      <c r="G104" s="7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7" t="s">
        <v>34</v>
      </c>
      <c r="P104" s="7" t="s">
        <v>0</v>
      </c>
      <c r="Q104" s="7" t="s">
        <v>0</v>
      </c>
      <c r="R104" s="7" t="s">
        <v>0</v>
      </c>
      <c r="S104" s="7" t="s">
        <v>0</v>
      </c>
      <c r="T104" s="7" t="s">
        <v>0</v>
      </c>
      <c r="U104" s="7" t="s">
        <v>0</v>
      </c>
      <c r="V104" s="16" t="str">
        <f>HYPERLINK("http://www.aruplab.com/Testing-Information/resources/HotLines/HotLineDocs/Jan2026QHL/3005401.pdf","H")</f>
        <v>H</v>
      </c>
      <c r="W104" s="7" t="s">
        <v>0</v>
      </c>
      <c r="X104" s="16" t="str">
        <f>HYPERLINK("http://www.aruplab.com/Testing-Information/resources/HotLines/Sample_Reports/Jan2026QHL/3005401_Chimerism Posttransplant Sorted Cells B Cells_STRPOST-B.pdf","E")</f>
        <v>E</v>
      </c>
      <c r="Y104" s="7" t="s">
        <v>0</v>
      </c>
      <c r="Z104" s="8">
        <v>46042</v>
      </c>
    </row>
    <row r="105" spans="1:26" ht="60" x14ac:dyDescent="0.25">
      <c r="A105" s="6" t="s">
        <v>320</v>
      </c>
      <c r="B105" s="6" t="s">
        <v>321</v>
      </c>
      <c r="C105" s="6" t="s">
        <v>322</v>
      </c>
      <c r="D105" s="7" t="s">
        <v>0</v>
      </c>
      <c r="E105" s="7" t="s">
        <v>0</v>
      </c>
      <c r="F105" s="7" t="s">
        <v>0</v>
      </c>
      <c r="G105" s="7" t="s">
        <v>0</v>
      </c>
      <c r="H105" s="7" t="s">
        <v>0</v>
      </c>
      <c r="I105" s="7" t="s">
        <v>0</v>
      </c>
      <c r="J105" s="7" t="s">
        <v>0</v>
      </c>
      <c r="K105" s="7" t="s">
        <v>0</v>
      </c>
      <c r="L105" s="7" t="s">
        <v>0</v>
      </c>
      <c r="M105" s="7" t="s">
        <v>0</v>
      </c>
      <c r="N105" s="7" t="s">
        <v>0</v>
      </c>
      <c r="O105" s="7" t="s">
        <v>34</v>
      </c>
      <c r="P105" s="7" t="s">
        <v>0</v>
      </c>
      <c r="Q105" s="7" t="s">
        <v>0</v>
      </c>
      <c r="R105" s="7" t="s">
        <v>0</v>
      </c>
      <c r="S105" s="7" t="s">
        <v>0</v>
      </c>
      <c r="T105" s="7" t="s">
        <v>0</v>
      </c>
      <c r="U105" s="7" t="s">
        <v>0</v>
      </c>
      <c r="V105" s="16" t="str">
        <f>HYPERLINK("http://www.aruplab.com/Testing-Information/resources/HotLines/HotLineDocs/Jan2026QHL/3005409.pdf","H")</f>
        <v>H</v>
      </c>
      <c r="W105" s="7" t="s">
        <v>0</v>
      </c>
      <c r="X105" s="16" t="str">
        <f>HYPERLINK("http://www.aruplab.com/Testing-Information/resources/HotLines/Sample_Reports/Jan2026QHL/3005409_Chimerism Posttransplant Sorted Cells CD33 Cells_STRPOST-33.pdf","E")</f>
        <v>E</v>
      </c>
      <c r="Y105" s="7" t="s">
        <v>0</v>
      </c>
      <c r="Z105" s="8">
        <v>46042</v>
      </c>
    </row>
    <row r="106" spans="1:26" ht="60" x14ac:dyDescent="0.25">
      <c r="A106" s="6" t="s">
        <v>323</v>
      </c>
      <c r="B106" s="6" t="s">
        <v>324</v>
      </c>
      <c r="C106" s="6" t="s">
        <v>325</v>
      </c>
      <c r="D106" s="7" t="s">
        <v>0</v>
      </c>
      <c r="E106" s="7" t="s">
        <v>0</v>
      </c>
      <c r="F106" s="7" t="s">
        <v>0</v>
      </c>
      <c r="G106" s="7" t="s">
        <v>0</v>
      </c>
      <c r="H106" s="7" t="s">
        <v>0</v>
      </c>
      <c r="I106" s="7" t="s">
        <v>0</v>
      </c>
      <c r="J106" s="7" t="s">
        <v>0</v>
      </c>
      <c r="K106" s="7" t="s">
        <v>0</v>
      </c>
      <c r="L106" s="7" t="s">
        <v>0</v>
      </c>
      <c r="M106" s="7" t="s">
        <v>0</v>
      </c>
      <c r="N106" s="7" t="s">
        <v>0</v>
      </c>
      <c r="O106" s="7" t="s">
        <v>34</v>
      </c>
      <c r="P106" s="7" t="s">
        <v>0</v>
      </c>
      <c r="Q106" s="7" t="s">
        <v>0</v>
      </c>
      <c r="R106" s="7" t="s">
        <v>0</v>
      </c>
      <c r="S106" s="7" t="s">
        <v>0</v>
      </c>
      <c r="T106" s="7" t="s">
        <v>0</v>
      </c>
      <c r="U106" s="7" t="s">
        <v>0</v>
      </c>
      <c r="V106" s="16" t="str">
        <f>HYPERLINK("http://www.aruplab.com/Testing-Information/resources/HotLines/HotLineDocs/Jan2026QHL/3005417.pdf","H")</f>
        <v>H</v>
      </c>
      <c r="W106" s="7" t="s">
        <v>0</v>
      </c>
      <c r="X106" s="16" t="str">
        <f>HYPERLINK("http://www.aruplab.com/Testing-Information/resources/HotLines/Sample_Reports/Jan2026QHL/3005417_Chimerism Posttransplant Sorted Cells Granulocytes_STRPOST-GR.pdf","E")</f>
        <v>E</v>
      </c>
      <c r="Y106" s="7" t="s">
        <v>0</v>
      </c>
      <c r="Z106" s="8">
        <v>46042</v>
      </c>
    </row>
    <row r="107" spans="1:26" ht="60" x14ac:dyDescent="0.25">
      <c r="A107" s="6" t="s">
        <v>326</v>
      </c>
      <c r="B107" s="6" t="s">
        <v>327</v>
      </c>
      <c r="C107" s="6" t="s">
        <v>328</v>
      </c>
      <c r="D107" s="7" t="s">
        <v>0</v>
      </c>
      <c r="E107" s="7" t="s">
        <v>0</v>
      </c>
      <c r="F107" s="7" t="s">
        <v>0</v>
      </c>
      <c r="G107" s="7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7" t="s">
        <v>0</v>
      </c>
      <c r="M107" s="7" t="s">
        <v>0</v>
      </c>
      <c r="N107" s="7" t="s">
        <v>0</v>
      </c>
      <c r="O107" s="7" t="s">
        <v>34</v>
      </c>
      <c r="P107" s="7" t="s">
        <v>0</v>
      </c>
      <c r="Q107" s="7" t="s">
        <v>0</v>
      </c>
      <c r="R107" s="7" t="s">
        <v>0</v>
      </c>
      <c r="S107" s="7" t="s">
        <v>0</v>
      </c>
      <c r="T107" s="7" t="s">
        <v>0</v>
      </c>
      <c r="U107" s="7" t="s">
        <v>0</v>
      </c>
      <c r="V107" s="16" t="str">
        <f>HYPERLINK("http://www.aruplab.com/Testing-Information/resources/HotLines/HotLineDocs/Jan2026QHL/3005433.pdf","H")</f>
        <v>H</v>
      </c>
      <c r="W107" s="7" t="s">
        <v>0</v>
      </c>
      <c r="X107" s="16" t="str">
        <f>HYPERLINK("http://www.aruplab.com/Testing-Information/resources/HotLines/Sample_Reports/Jan2026QHL/3005433_Chimerism Posttransplant Sorted Cells CD34 Cells_STRPOST-34.pdf","E")</f>
        <v>E</v>
      </c>
      <c r="Y107" s="7" t="s">
        <v>0</v>
      </c>
      <c r="Z107" s="8">
        <v>46042</v>
      </c>
    </row>
    <row r="108" spans="1:26" ht="60" x14ac:dyDescent="0.25">
      <c r="A108" s="6" t="s">
        <v>329</v>
      </c>
      <c r="B108" s="6" t="s">
        <v>330</v>
      </c>
      <c r="C108" s="6" t="s">
        <v>331</v>
      </c>
      <c r="D108" s="7" t="s">
        <v>0</v>
      </c>
      <c r="E108" s="7" t="s">
        <v>0</v>
      </c>
      <c r="F108" s="7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7" t="s">
        <v>0</v>
      </c>
      <c r="L108" s="7" t="s">
        <v>0</v>
      </c>
      <c r="M108" s="7" t="s">
        <v>0</v>
      </c>
      <c r="N108" s="7" t="s">
        <v>0</v>
      </c>
      <c r="O108" s="7" t="s">
        <v>34</v>
      </c>
      <c r="P108" s="7" t="s">
        <v>0</v>
      </c>
      <c r="Q108" s="7" t="s">
        <v>0</v>
      </c>
      <c r="R108" s="7" t="s">
        <v>0</v>
      </c>
      <c r="S108" s="7" t="s">
        <v>0</v>
      </c>
      <c r="T108" s="7" t="s">
        <v>0</v>
      </c>
      <c r="U108" s="7" t="s">
        <v>0</v>
      </c>
      <c r="V108" s="16" t="str">
        <f>HYPERLINK("http://www.aruplab.com/Testing-Information/resources/HotLines/HotLineDocs/Jan2026QHL/3005441.pdf","H")</f>
        <v>H</v>
      </c>
      <c r="W108" s="7" t="s">
        <v>0</v>
      </c>
      <c r="X108" s="16" t="str">
        <f>HYPERLINK("http://www.aruplab.com/Testing-Information/resources/HotLines/Sample_Reports/Jan2026QHL/3005441_Chimerism Posttransplant Sorted Cells CD 56 Cells_STRPOST-56.pdf","E")</f>
        <v>E</v>
      </c>
      <c r="Y108" s="7" t="s">
        <v>0</v>
      </c>
      <c r="Z108" s="8">
        <v>46042</v>
      </c>
    </row>
    <row r="109" spans="1:26" ht="45" x14ac:dyDescent="0.25">
      <c r="A109" s="6" t="s">
        <v>332</v>
      </c>
      <c r="B109" s="6" t="s">
        <v>333</v>
      </c>
      <c r="C109" s="6" t="s">
        <v>334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7" t="s">
        <v>0</v>
      </c>
      <c r="L109" s="7" t="s">
        <v>0</v>
      </c>
      <c r="M109" s="7" t="s">
        <v>0</v>
      </c>
      <c r="N109" s="7" t="s">
        <v>0</v>
      </c>
      <c r="O109" s="7" t="s">
        <v>34</v>
      </c>
      <c r="P109" s="7" t="s">
        <v>0</v>
      </c>
      <c r="Q109" s="7" t="s">
        <v>0</v>
      </c>
      <c r="R109" s="7" t="s">
        <v>0</v>
      </c>
      <c r="S109" s="7" t="s">
        <v>0</v>
      </c>
      <c r="T109" s="7" t="s">
        <v>0</v>
      </c>
      <c r="U109" s="7" t="s">
        <v>0</v>
      </c>
      <c r="V109" s="16" t="str">
        <f>HYPERLINK("http://www.aruplab.com/Testing-Information/resources/HotLines/HotLineDocs/Jan2026QHL/3005449.pdf","H")</f>
        <v>H</v>
      </c>
      <c r="W109" s="7" t="s">
        <v>0</v>
      </c>
      <c r="X109" s="16" t="str">
        <f>HYPERLINK("http://www.aruplab.com/Testing-Information/resources/HotLines/Sample_Reports/Jan2026QHL/3005449_Chimerism Recipient Pretransplant_STR_PRE.pdf","E")</f>
        <v>E</v>
      </c>
      <c r="Y109" s="7" t="s">
        <v>0</v>
      </c>
      <c r="Z109" s="8">
        <v>46042</v>
      </c>
    </row>
    <row r="110" spans="1:26" ht="30" x14ac:dyDescent="0.25">
      <c r="A110" s="6" t="s">
        <v>335</v>
      </c>
      <c r="B110" s="6" t="s">
        <v>336</v>
      </c>
      <c r="C110" s="6" t="s">
        <v>337</v>
      </c>
      <c r="D110" s="7" t="s">
        <v>0</v>
      </c>
      <c r="E110" s="7" t="s">
        <v>0</v>
      </c>
      <c r="F110" s="7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0</v>
      </c>
      <c r="M110" s="7" t="s">
        <v>0</v>
      </c>
      <c r="N110" s="7" t="s">
        <v>0</v>
      </c>
      <c r="O110" s="7" t="s">
        <v>34</v>
      </c>
      <c r="P110" s="7" t="s">
        <v>0</v>
      </c>
      <c r="Q110" s="7" t="s">
        <v>0</v>
      </c>
      <c r="R110" s="7" t="s">
        <v>0</v>
      </c>
      <c r="S110" s="7" t="s">
        <v>0</v>
      </c>
      <c r="T110" s="7" t="s">
        <v>0</v>
      </c>
      <c r="U110" s="7" t="s">
        <v>0</v>
      </c>
      <c r="V110" s="16" t="str">
        <f>HYPERLINK("http://www.aruplab.com/Testing-Information/resources/HotLines/HotLineDocs/Jan2026QHL/3005454.pdf","H")</f>
        <v>H</v>
      </c>
      <c r="W110" s="7" t="s">
        <v>0</v>
      </c>
      <c r="X110" s="16" t="str">
        <f>HYPERLINK("http://www.aruplab.com/Testing-Information/resources/HotLines/Sample_Reports/Jan2026QHL/3005454_Chimerism Posttransplant_STR_POST.pdf","E")</f>
        <v>E</v>
      </c>
      <c r="Y110" s="7" t="s">
        <v>0</v>
      </c>
      <c r="Z110" s="8">
        <v>46042</v>
      </c>
    </row>
    <row r="111" spans="1:26" x14ac:dyDescent="0.25">
      <c r="A111" s="6" t="s">
        <v>338</v>
      </c>
      <c r="B111" s="6" t="s">
        <v>339</v>
      </c>
      <c r="C111" s="6" t="s">
        <v>340</v>
      </c>
      <c r="D111" s="7" t="s">
        <v>0</v>
      </c>
      <c r="E111" s="7" t="s">
        <v>0</v>
      </c>
      <c r="F111" s="7" t="s">
        <v>0</v>
      </c>
      <c r="G111" s="7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7" t="s">
        <v>0</v>
      </c>
      <c r="M111" s="7" t="s">
        <v>0</v>
      </c>
      <c r="N111" s="7" t="s">
        <v>0</v>
      </c>
      <c r="O111" s="7" t="s">
        <v>34</v>
      </c>
      <c r="P111" s="7" t="s">
        <v>0</v>
      </c>
      <c r="Q111" s="7" t="s">
        <v>0</v>
      </c>
      <c r="R111" s="7" t="s">
        <v>0</v>
      </c>
      <c r="S111" s="7" t="s">
        <v>0</v>
      </c>
      <c r="T111" s="7" t="s">
        <v>0</v>
      </c>
      <c r="U111" s="7" t="s">
        <v>0</v>
      </c>
      <c r="V111" s="16" t="str">
        <f>HYPERLINK("http://www.aruplab.com/Testing-Information/resources/HotLines/HotLineDocs/Jan2026QHL/3005462.pdf","H")</f>
        <v>H</v>
      </c>
      <c r="W111" s="7" t="s">
        <v>0</v>
      </c>
      <c r="X111" s="16" t="str">
        <f>HYPERLINK("http://www.aruplab.com/Testing-Information/resources/HotLines/Sample_Reports/Jan2026QHL/3005462_Chimerism Donor_STR_DONOR.pdf","E")</f>
        <v>E</v>
      </c>
      <c r="Y111" s="7" t="s">
        <v>0</v>
      </c>
      <c r="Z111" s="8">
        <v>46042</v>
      </c>
    </row>
    <row r="112" spans="1:26" ht="30" x14ac:dyDescent="0.25">
      <c r="A112" s="6" t="s">
        <v>341</v>
      </c>
      <c r="B112" s="6" t="s">
        <v>342</v>
      </c>
      <c r="C112" s="6" t="s">
        <v>343</v>
      </c>
      <c r="D112" s="7" t="s">
        <v>0</v>
      </c>
      <c r="E112" s="7" t="s">
        <v>0</v>
      </c>
      <c r="F112" s="7" t="s">
        <v>0</v>
      </c>
      <c r="G112" s="7" t="s">
        <v>0</v>
      </c>
      <c r="H112" s="7" t="s">
        <v>0</v>
      </c>
      <c r="I112" s="7" t="s">
        <v>0</v>
      </c>
      <c r="J112" s="7" t="s">
        <v>0</v>
      </c>
      <c r="K112" s="7" t="s">
        <v>0</v>
      </c>
      <c r="L112" s="7" t="s">
        <v>0</v>
      </c>
      <c r="M112" s="7" t="s">
        <v>0</v>
      </c>
      <c r="N112" s="7" t="s">
        <v>0</v>
      </c>
      <c r="O112" s="7" t="s">
        <v>34</v>
      </c>
      <c r="P112" s="7" t="s">
        <v>0</v>
      </c>
      <c r="Q112" s="7" t="s">
        <v>0</v>
      </c>
      <c r="R112" s="7" t="s">
        <v>0</v>
      </c>
      <c r="S112" s="7" t="s">
        <v>0</v>
      </c>
      <c r="T112" s="7" t="s">
        <v>0</v>
      </c>
      <c r="U112" s="7" t="s">
        <v>0</v>
      </c>
      <c r="V112" s="16" t="str">
        <f>HYPERLINK("http://www.aruplab.com/Testing-Information/resources/HotLines/HotLineDocs/Jan2026QHL/3005468.pdf","H")</f>
        <v>H</v>
      </c>
      <c r="W112" s="7" t="s">
        <v>0</v>
      </c>
      <c r="X112" s="16" t="str">
        <f>HYPERLINK("http://www.aruplab.com/Testing-Information/resources/HotLines/Sample_Reports/Jan2026QHL/3005468_Chimerism Additional Donor_STR AD DON.pdf","E")</f>
        <v>E</v>
      </c>
      <c r="Y112" s="7" t="s">
        <v>0</v>
      </c>
      <c r="Z112" s="8">
        <v>46042</v>
      </c>
    </row>
    <row r="113" spans="1:26" ht="60" x14ac:dyDescent="0.25">
      <c r="A113" s="6" t="s">
        <v>344</v>
      </c>
      <c r="B113" s="6" t="s">
        <v>345</v>
      </c>
      <c r="C113" s="6" t="s">
        <v>346</v>
      </c>
      <c r="D113" s="7" t="s">
        <v>0</v>
      </c>
      <c r="E113" s="7" t="s">
        <v>0</v>
      </c>
      <c r="F113" s="7" t="s">
        <v>0</v>
      </c>
      <c r="G113" s="7" t="s">
        <v>0</v>
      </c>
      <c r="H113" s="7" t="s">
        <v>0</v>
      </c>
      <c r="I113" s="7" t="s">
        <v>0</v>
      </c>
      <c r="J113" s="7" t="s">
        <v>0</v>
      </c>
      <c r="K113" s="7" t="s">
        <v>0</v>
      </c>
      <c r="L113" s="7" t="s">
        <v>0</v>
      </c>
      <c r="M113" s="7" t="s">
        <v>0</v>
      </c>
      <c r="N113" s="7" t="s">
        <v>0</v>
      </c>
      <c r="O113" s="7" t="s">
        <v>0</v>
      </c>
      <c r="P113" s="7" t="s">
        <v>0</v>
      </c>
      <c r="Q113" s="7" t="s">
        <v>0</v>
      </c>
      <c r="R113" s="7" t="s">
        <v>0</v>
      </c>
      <c r="S113" s="7" t="s">
        <v>0</v>
      </c>
      <c r="T113" s="7" t="s">
        <v>34</v>
      </c>
      <c r="U113" s="7" t="s">
        <v>0</v>
      </c>
      <c r="V113" s="16" t="str">
        <f>HYPERLINK("http://www.aruplab.com/Testing-Information/resources/HotLines/HotLineDocs/Jan2026QHL/2025.12.05 Jan Quarterly Hotline Inactivations.pdf","H")</f>
        <v>H</v>
      </c>
      <c r="W113" s="7" t="s">
        <v>0</v>
      </c>
      <c r="X113" s="7" t="s">
        <v>0</v>
      </c>
      <c r="Y113" s="7" t="s">
        <v>0</v>
      </c>
      <c r="Z113" s="8">
        <v>46042</v>
      </c>
    </row>
    <row r="114" spans="1:26" ht="75" x14ac:dyDescent="0.25">
      <c r="A114" s="6" t="s">
        <v>347</v>
      </c>
      <c r="B114" s="6" t="s">
        <v>348</v>
      </c>
      <c r="C114" s="6" t="s">
        <v>349</v>
      </c>
      <c r="D114" s="7" t="s">
        <v>0</v>
      </c>
      <c r="E114" s="7" t="s">
        <v>0</v>
      </c>
      <c r="F114" s="7" t="s">
        <v>0</v>
      </c>
      <c r="G114" s="7" t="s">
        <v>0</v>
      </c>
      <c r="H114" s="7" t="s">
        <v>0</v>
      </c>
      <c r="I114" s="7" t="s">
        <v>0</v>
      </c>
      <c r="J114" s="7" t="s">
        <v>0</v>
      </c>
      <c r="K114" s="7" t="s">
        <v>0</v>
      </c>
      <c r="L114" s="7" t="s">
        <v>0</v>
      </c>
      <c r="M114" s="7" t="s">
        <v>0</v>
      </c>
      <c r="N114" s="7" t="s">
        <v>0</v>
      </c>
      <c r="O114" s="7" t="s">
        <v>0</v>
      </c>
      <c r="P114" s="7" t="s">
        <v>0</v>
      </c>
      <c r="Q114" s="7" t="s">
        <v>0</v>
      </c>
      <c r="R114" s="7" t="s">
        <v>0</v>
      </c>
      <c r="S114" s="7" t="s">
        <v>0</v>
      </c>
      <c r="T114" s="7" t="s">
        <v>34</v>
      </c>
      <c r="U114" s="7" t="s">
        <v>0</v>
      </c>
      <c r="V114" s="16" t="str">
        <f>HYPERLINK("http://www.aruplab.com/Testing-Information/resources/HotLines/HotLineDocs/Jan2026QHL/2025.12.05 Jan Quarterly Hotline Inactivations.pdf","H")</f>
        <v>H</v>
      </c>
      <c r="W114" s="7" t="s">
        <v>0</v>
      </c>
      <c r="X114" s="7" t="s">
        <v>0</v>
      </c>
      <c r="Y114" s="7" t="s">
        <v>0</v>
      </c>
      <c r="Z114" s="8">
        <v>46042</v>
      </c>
    </row>
    <row r="115" spans="1:26" ht="45" x14ac:dyDescent="0.25">
      <c r="A115" s="6" t="s">
        <v>350</v>
      </c>
      <c r="B115" s="6" t="s">
        <v>351</v>
      </c>
      <c r="C115" s="6" t="s">
        <v>352</v>
      </c>
      <c r="D115" s="7" t="s">
        <v>0</v>
      </c>
      <c r="E115" s="7" t="s">
        <v>0</v>
      </c>
      <c r="F115" s="7" t="s">
        <v>0</v>
      </c>
      <c r="G115" s="7" t="s">
        <v>0</v>
      </c>
      <c r="H115" s="7" t="s">
        <v>0</v>
      </c>
      <c r="I115" s="7" t="s">
        <v>0</v>
      </c>
      <c r="J115" s="7" t="s">
        <v>0</v>
      </c>
      <c r="K115" s="7" t="s">
        <v>0</v>
      </c>
      <c r="L115" s="7" t="s">
        <v>0</v>
      </c>
      <c r="M115" s="7" t="s">
        <v>0</v>
      </c>
      <c r="N115" s="7" t="s">
        <v>0</v>
      </c>
      <c r="O115" s="7" t="s">
        <v>0</v>
      </c>
      <c r="P115" s="7" t="s">
        <v>0</v>
      </c>
      <c r="Q115" s="7" t="s">
        <v>0</v>
      </c>
      <c r="R115" s="7" t="s">
        <v>0</v>
      </c>
      <c r="S115" s="7" t="s">
        <v>0</v>
      </c>
      <c r="T115" s="7" t="s">
        <v>34</v>
      </c>
      <c r="U115" s="7" t="s">
        <v>0</v>
      </c>
      <c r="V115" s="16" t="str">
        <f>HYPERLINK("http://www.aruplab.com/Testing-Information/resources/HotLines/HotLineDocs/Jan2026QHL/2025.12.05 Jan Quarterly Hotline Inactivations.pdf","H")</f>
        <v>H</v>
      </c>
      <c r="W115" s="7" t="s">
        <v>0</v>
      </c>
      <c r="X115" s="7" t="s">
        <v>0</v>
      </c>
      <c r="Y115" s="7" t="s">
        <v>0</v>
      </c>
      <c r="Z115" s="8">
        <v>46042</v>
      </c>
    </row>
    <row r="116" spans="1:26" ht="45" x14ac:dyDescent="0.25">
      <c r="A116" s="6" t="s">
        <v>353</v>
      </c>
      <c r="B116" s="6" t="s">
        <v>354</v>
      </c>
      <c r="C116" s="6" t="s">
        <v>355</v>
      </c>
      <c r="D116" s="7" t="s">
        <v>0</v>
      </c>
      <c r="E116" s="7" t="s">
        <v>0</v>
      </c>
      <c r="F116" s="7" t="s">
        <v>34</v>
      </c>
      <c r="G116" s="7" t="s">
        <v>0</v>
      </c>
      <c r="H116" s="7" t="s">
        <v>34</v>
      </c>
      <c r="I116" s="7" t="s">
        <v>0</v>
      </c>
      <c r="J116" s="7" t="s">
        <v>0</v>
      </c>
      <c r="K116" s="7" t="s">
        <v>0</v>
      </c>
      <c r="L116" s="7" t="s">
        <v>0</v>
      </c>
      <c r="M116" s="7" t="s">
        <v>0</v>
      </c>
      <c r="N116" s="7" t="s">
        <v>0</v>
      </c>
      <c r="O116" s="7" t="s">
        <v>0</v>
      </c>
      <c r="P116" s="7" t="s">
        <v>0</v>
      </c>
      <c r="Q116" s="7" t="s">
        <v>0</v>
      </c>
      <c r="R116" s="7" t="s">
        <v>0</v>
      </c>
      <c r="S116" s="7" t="s">
        <v>0</v>
      </c>
      <c r="T116" s="7" t="s">
        <v>0</v>
      </c>
      <c r="U116" s="7" t="s">
        <v>0</v>
      </c>
      <c r="V116" s="16" t="str">
        <f>HYPERLINK("http://www.aruplab.com/Testing-Information/resources/HotLines/HotLineDocs/Jan2026QHL/3005939.pdf","H")</f>
        <v>H</v>
      </c>
      <c r="W116" s="7" t="s">
        <v>0</v>
      </c>
      <c r="X116" s="7" t="s">
        <v>0</v>
      </c>
      <c r="Y116" s="7" t="s">
        <v>0</v>
      </c>
      <c r="Z116" s="8">
        <v>46042</v>
      </c>
    </row>
    <row r="117" spans="1:26" ht="45" x14ac:dyDescent="0.25">
      <c r="A117" s="6" t="s">
        <v>356</v>
      </c>
      <c r="B117" s="6" t="s">
        <v>357</v>
      </c>
      <c r="C117" s="6" t="s">
        <v>358</v>
      </c>
      <c r="D117" s="7" t="s">
        <v>0</v>
      </c>
      <c r="E117" s="7" t="s">
        <v>0</v>
      </c>
      <c r="F117" s="7" t="s">
        <v>34</v>
      </c>
      <c r="G117" s="7" t="s">
        <v>0</v>
      </c>
      <c r="H117" s="7" t="s">
        <v>0</v>
      </c>
      <c r="I117" s="7" t="s">
        <v>0</v>
      </c>
      <c r="J117" s="7" t="s">
        <v>0</v>
      </c>
      <c r="K117" s="7" t="s">
        <v>0</v>
      </c>
      <c r="L117" s="7" t="s">
        <v>0</v>
      </c>
      <c r="M117" s="7" t="s">
        <v>0</v>
      </c>
      <c r="N117" s="7" t="s">
        <v>0</v>
      </c>
      <c r="O117" s="7" t="s">
        <v>0</v>
      </c>
      <c r="P117" s="7" t="s">
        <v>0</v>
      </c>
      <c r="Q117" s="7" t="s">
        <v>0</v>
      </c>
      <c r="R117" s="7" t="s">
        <v>0</v>
      </c>
      <c r="S117" s="7" t="s">
        <v>0</v>
      </c>
      <c r="T117" s="7" t="s">
        <v>0</v>
      </c>
      <c r="U117" s="7" t="s">
        <v>0</v>
      </c>
      <c r="V117" s="16" t="str">
        <f>HYPERLINK("http://www.aruplab.com/Testing-Information/resources/HotLines/HotLineDocs/Jan2026QHL/3006075.pdf","H")</f>
        <v>H</v>
      </c>
      <c r="W117" s="7" t="s">
        <v>0</v>
      </c>
      <c r="X117" s="7" t="s">
        <v>0</v>
      </c>
      <c r="Y117" s="7" t="s">
        <v>0</v>
      </c>
      <c r="Z117" s="8">
        <v>46042</v>
      </c>
    </row>
    <row r="118" spans="1:26" ht="90" x14ac:dyDescent="0.25">
      <c r="A118" s="6" t="s">
        <v>359</v>
      </c>
      <c r="B118" s="6" t="s">
        <v>360</v>
      </c>
      <c r="C118" s="6" t="s">
        <v>361</v>
      </c>
      <c r="D118" s="7" t="s">
        <v>0</v>
      </c>
      <c r="E118" s="7" t="s">
        <v>0</v>
      </c>
      <c r="F118" s="7" t="s">
        <v>34</v>
      </c>
      <c r="G118" s="7" t="s">
        <v>0</v>
      </c>
      <c r="H118" s="7" t="s">
        <v>0</v>
      </c>
      <c r="I118" s="7" t="s">
        <v>0</v>
      </c>
      <c r="J118" s="7" t="s">
        <v>0</v>
      </c>
      <c r="K118" s="7" t="s">
        <v>0</v>
      </c>
      <c r="L118" s="7" t="s">
        <v>0</v>
      </c>
      <c r="M118" s="7" t="s">
        <v>0</v>
      </c>
      <c r="N118" s="7" t="s">
        <v>0</v>
      </c>
      <c r="O118" s="7" t="s">
        <v>0</v>
      </c>
      <c r="P118" s="7" t="s">
        <v>0</v>
      </c>
      <c r="Q118" s="7" t="s">
        <v>0</v>
      </c>
      <c r="R118" s="7" t="s">
        <v>0</v>
      </c>
      <c r="S118" s="7" t="s">
        <v>0</v>
      </c>
      <c r="T118" s="7" t="s">
        <v>0</v>
      </c>
      <c r="U118" s="7" t="s">
        <v>0</v>
      </c>
      <c r="V118" s="16" t="str">
        <f>HYPERLINK("http://www.aruplab.com/Testing-Information/resources/HotLines/HotLineDocs/Jan2026QHL/3006379.pdf","H")</f>
        <v>H</v>
      </c>
      <c r="W118" s="7" t="s">
        <v>0</v>
      </c>
      <c r="X118" s="7" t="s">
        <v>0</v>
      </c>
      <c r="Y118" s="7" t="s">
        <v>0</v>
      </c>
      <c r="Z118" s="8">
        <v>46042</v>
      </c>
    </row>
    <row r="119" spans="1:26" ht="45" x14ac:dyDescent="0.25">
      <c r="A119" s="6" t="s">
        <v>362</v>
      </c>
      <c r="B119" s="6" t="s">
        <v>363</v>
      </c>
      <c r="C119" s="6" t="s">
        <v>364</v>
      </c>
      <c r="D119" s="7" t="s">
        <v>0</v>
      </c>
      <c r="E119" s="7" t="s">
        <v>0</v>
      </c>
      <c r="F119" s="7" t="s">
        <v>0</v>
      </c>
      <c r="G119" s="7" t="s">
        <v>0</v>
      </c>
      <c r="H119" s="7" t="s">
        <v>34</v>
      </c>
      <c r="I119" s="7" t="s">
        <v>0</v>
      </c>
      <c r="J119" s="7" t="s">
        <v>0</v>
      </c>
      <c r="K119" s="7" t="s">
        <v>0</v>
      </c>
      <c r="L119" s="7" t="s">
        <v>0</v>
      </c>
      <c r="M119" s="7" t="s">
        <v>34</v>
      </c>
      <c r="N119" s="7" t="s">
        <v>0</v>
      </c>
      <c r="O119" s="7" t="s">
        <v>0</v>
      </c>
      <c r="P119" s="7" t="s">
        <v>0</v>
      </c>
      <c r="Q119" s="7" t="s">
        <v>0</v>
      </c>
      <c r="R119" s="7" t="s">
        <v>34</v>
      </c>
      <c r="S119" s="7" t="s">
        <v>0</v>
      </c>
      <c r="T119" s="7" t="s">
        <v>0</v>
      </c>
      <c r="U119" s="7" t="s">
        <v>0</v>
      </c>
      <c r="V119" s="16" t="str">
        <f>HYPERLINK("http://www.aruplab.com/Testing-Information/resources/HotLines/HotLineDocs/Jan2026QHL/3006383.pdf","H")</f>
        <v>H</v>
      </c>
      <c r="W119" s="16" t="str">
        <f>HYPERLINK("http://www.aruplab.com/Testing-Information/resources/HotLines/TDMix/Jan2026QHL/3006383.xlsx","T")</f>
        <v>T</v>
      </c>
      <c r="X119" s="7" t="s">
        <v>0</v>
      </c>
      <c r="Y119" s="7" t="s">
        <v>0</v>
      </c>
      <c r="Z119" s="8">
        <v>46042</v>
      </c>
    </row>
    <row r="120" spans="1:26" ht="30" x14ac:dyDescent="0.25">
      <c r="A120" s="6" t="s">
        <v>365</v>
      </c>
      <c r="B120" s="6" t="s">
        <v>366</v>
      </c>
      <c r="C120" s="6" t="s">
        <v>367</v>
      </c>
      <c r="D120" s="7" t="s">
        <v>0</v>
      </c>
      <c r="E120" s="7" t="s">
        <v>0</v>
      </c>
      <c r="F120" s="7" t="s">
        <v>0</v>
      </c>
      <c r="G120" s="7" t="s">
        <v>0</v>
      </c>
      <c r="H120" s="7" t="s">
        <v>0</v>
      </c>
      <c r="I120" s="7" t="s">
        <v>0</v>
      </c>
      <c r="J120" s="7" t="s">
        <v>0</v>
      </c>
      <c r="K120" s="7" t="s">
        <v>0</v>
      </c>
      <c r="L120" s="7" t="s">
        <v>0</v>
      </c>
      <c r="M120" s="7" t="s">
        <v>0</v>
      </c>
      <c r="N120" s="7" t="s">
        <v>0</v>
      </c>
      <c r="O120" s="7" t="s">
        <v>0</v>
      </c>
      <c r="P120" s="7" t="s">
        <v>0</v>
      </c>
      <c r="Q120" s="7" t="s">
        <v>0</v>
      </c>
      <c r="R120" s="7" t="s">
        <v>0</v>
      </c>
      <c r="S120" s="7" t="s">
        <v>0</v>
      </c>
      <c r="T120" s="7" t="s">
        <v>34</v>
      </c>
      <c r="U120" s="7" t="s">
        <v>0</v>
      </c>
      <c r="V120" s="16" t="str">
        <f>HYPERLINK("http://www.aruplab.com/Testing-Information/resources/HotLines/HotLineDocs/Jan2026QHL/2025.12.05 Jan Quarterly Hotline Inactivations.pdf","H")</f>
        <v>H</v>
      </c>
      <c r="W120" s="7" t="s">
        <v>0</v>
      </c>
      <c r="X120" s="7" t="s">
        <v>0</v>
      </c>
      <c r="Y120" s="7" t="s">
        <v>0</v>
      </c>
      <c r="Z120" s="8">
        <v>46042</v>
      </c>
    </row>
    <row r="121" spans="1:26" ht="45" x14ac:dyDescent="0.25">
      <c r="A121" s="6" t="s">
        <v>368</v>
      </c>
      <c r="B121" s="6" t="s">
        <v>369</v>
      </c>
      <c r="C121" s="6" t="s">
        <v>370</v>
      </c>
      <c r="D121" s="7" t="s">
        <v>0</v>
      </c>
      <c r="E121" s="7" t="s">
        <v>0</v>
      </c>
      <c r="F121" s="7" t="s">
        <v>0</v>
      </c>
      <c r="G121" s="7" t="s">
        <v>0</v>
      </c>
      <c r="H121" s="7" t="s">
        <v>0</v>
      </c>
      <c r="I121" s="7" t="s">
        <v>0</v>
      </c>
      <c r="J121" s="7" t="s">
        <v>0</v>
      </c>
      <c r="K121" s="7" t="s">
        <v>0</v>
      </c>
      <c r="L121" s="7" t="s">
        <v>0</v>
      </c>
      <c r="M121" s="7" t="s">
        <v>0</v>
      </c>
      <c r="N121" s="7" t="s">
        <v>0</v>
      </c>
      <c r="O121" s="7" t="s">
        <v>0</v>
      </c>
      <c r="P121" s="7" t="s">
        <v>0</v>
      </c>
      <c r="Q121" s="7" t="s">
        <v>0</v>
      </c>
      <c r="R121" s="7" t="s">
        <v>0</v>
      </c>
      <c r="S121" s="7" t="s">
        <v>0</v>
      </c>
      <c r="T121" s="7" t="s">
        <v>34</v>
      </c>
      <c r="U121" s="7" t="s">
        <v>0</v>
      </c>
      <c r="V121" s="16" t="str">
        <f>HYPERLINK("http://www.aruplab.com/Testing-Information/resources/HotLines/HotLineDocs/Jan2026QHL/2025.12.05 Jan Quarterly Hotline Inactivations.pdf","H")</f>
        <v>H</v>
      </c>
      <c r="W121" s="7" t="s">
        <v>0</v>
      </c>
      <c r="X121" s="7" t="s">
        <v>0</v>
      </c>
      <c r="Y121" s="7" t="s">
        <v>0</v>
      </c>
      <c r="Z121" s="8">
        <v>46042</v>
      </c>
    </row>
    <row r="122" spans="1:26" ht="30" x14ac:dyDescent="0.25">
      <c r="A122" s="6" t="s">
        <v>371</v>
      </c>
      <c r="B122" s="6" t="s">
        <v>372</v>
      </c>
      <c r="C122" s="6" t="s">
        <v>373</v>
      </c>
      <c r="D122" s="7" t="s">
        <v>0</v>
      </c>
      <c r="E122" s="7" t="s">
        <v>0</v>
      </c>
      <c r="F122" s="7" t="s">
        <v>0</v>
      </c>
      <c r="G122" s="7" t="s">
        <v>0</v>
      </c>
      <c r="H122" s="7" t="s">
        <v>0</v>
      </c>
      <c r="I122" s="7" t="s">
        <v>0</v>
      </c>
      <c r="J122" s="7" t="s">
        <v>0</v>
      </c>
      <c r="K122" s="7" t="s">
        <v>0</v>
      </c>
      <c r="L122" s="7" t="s">
        <v>0</v>
      </c>
      <c r="M122" s="7" t="s">
        <v>0</v>
      </c>
      <c r="N122" s="7" t="s">
        <v>0</v>
      </c>
      <c r="O122" s="7" t="s">
        <v>0</v>
      </c>
      <c r="P122" s="7" t="s">
        <v>0</v>
      </c>
      <c r="Q122" s="7" t="s">
        <v>0</v>
      </c>
      <c r="R122" s="7" t="s">
        <v>0</v>
      </c>
      <c r="S122" s="7" t="s">
        <v>0</v>
      </c>
      <c r="T122" s="7" t="s">
        <v>34</v>
      </c>
      <c r="U122" s="7" t="s">
        <v>0</v>
      </c>
      <c r="V122" s="16" t="str">
        <f>HYPERLINK("http://www.aruplab.com/Testing-Information/resources/HotLines/HotLineDocs/Jan2026QHL/2025.12.05 Jan Quarterly Hotline Inactivations.pdf","H")</f>
        <v>H</v>
      </c>
      <c r="W122" s="7" t="s">
        <v>0</v>
      </c>
      <c r="X122" s="7" t="s">
        <v>0</v>
      </c>
      <c r="Y122" s="7" t="s">
        <v>0</v>
      </c>
      <c r="Z122" s="8">
        <v>46042</v>
      </c>
    </row>
    <row r="123" spans="1:26" ht="90" x14ac:dyDescent="0.25">
      <c r="A123" s="6" t="s">
        <v>374</v>
      </c>
      <c r="B123" s="6" t="s">
        <v>375</v>
      </c>
      <c r="C123" s="6" t="s">
        <v>376</v>
      </c>
      <c r="D123" s="7" t="s">
        <v>34</v>
      </c>
      <c r="E123" s="7" t="s">
        <v>0</v>
      </c>
      <c r="F123" s="7" t="s">
        <v>0</v>
      </c>
      <c r="G123" s="7" t="s">
        <v>0</v>
      </c>
      <c r="H123" s="7" t="s">
        <v>0</v>
      </c>
      <c r="I123" s="7" t="s">
        <v>0</v>
      </c>
      <c r="J123" s="7" t="s">
        <v>0</v>
      </c>
      <c r="K123" s="7" t="s">
        <v>0</v>
      </c>
      <c r="L123" s="7" t="s">
        <v>0</v>
      </c>
      <c r="M123" s="7" t="s">
        <v>0</v>
      </c>
      <c r="N123" s="7" t="s">
        <v>0</v>
      </c>
      <c r="O123" s="7" t="s">
        <v>0</v>
      </c>
      <c r="P123" s="7" t="s">
        <v>0</v>
      </c>
      <c r="Q123" s="7" t="s">
        <v>0</v>
      </c>
      <c r="R123" s="7" t="s">
        <v>0</v>
      </c>
      <c r="S123" s="7" t="s">
        <v>0</v>
      </c>
      <c r="T123" s="7" t="s">
        <v>0</v>
      </c>
      <c r="U123" s="7" t="s">
        <v>0</v>
      </c>
      <c r="V123" s="16" t="str">
        <f>HYPERLINK("http://www.aruplab.com/Testing-Information/resources/HotLines/HotLineDocs/Jan2026QHL/3017688.pdf","H")</f>
        <v>H</v>
      </c>
      <c r="W123" s="16" t="str">
        <f>HYPERLINK("http://www.aruplab.com/Testing-Information/resources/HotLines/TDMix/Jan2026QHL/3017688.xlsx","T")</f>
        <v>T</v>
      </c>
      <c r="X123" s="7" t="s">
        <v>0</v>
      </c>
      <c r="Y123" s="16" t="str">
        <f>HYPERLINK("https://connect.aruplab.com/Pricing/TestPrice/3017688/D01202026","P")</f>
        <v>P</v>
      </c>
      <c r="Z123" s="8">
        <v>45910</v>
      </c>
    </row>
    <row r="124" spans="1:26" ht="75" x14ac:dyDescent="0.25">
      <c r="A124" s="6" t="s">
        <v>377</v>
      </c>
      <c r="B124" s="6" t="s">
        <v>378</v>
      </c>
      <c r="C124" s="6" t="s">
        <v>379</v>
      </c>
      <c r="D124" s="7" t="s">
        <v>34</v>
      </c>
      <c r="E124" s="7" t="s">
        <v>0</v>
      </c>
      <c r="F124" s="7" t="s">
        <v>0</v>
      </c>
      <c r="G124" s="7" t="s">
        <v>0</v>
      </c>
      <c r="H124" s="7" t="s">
        <v>0</v>
      </c>
      <c r="I124" s="7" t="s">
        <v>0</v>
      </c>
      <c r="J124" s="7" t="s">
        <v>0</v>
      </c>
      <c r="K124" s="7" t="s">
        <v>0</v>
      </c>
      <c r="L124" s="7" t="s">
        <v>0</v>
      </c>
      <c r="M124" s="7" t="s">
        <v>0</v>
      </c>
      <c r="N124" s="7" t="s">
        <v>0</v>
      </c>
      <c r="O124" s="7" t="s">
        <v>0</v>
      </c>
      <c r="P124" s="7" t="s">
        <v>0</v>
      </c>
      <c r="Q124" s="7" t="s">
        <v>0</v>
      </c>
      <c r="R124" s="7" t="s">
        <v>0</v>
      </c>
      <c r="S124" s="7" t="s">
        <v>0</v>
      </c>
      <c r="T124" s="7" t="s">
        <v>0</v>
      </c>
      <c r="U124" s="7" t="s">
        <v>0</v>
      </c>
      <c r="V124" s="16" t="str">
        <f>HYPERLINK("http://www.aruplab.com/Testing-Information/resources/HotLines/HotLineDocs/Jan2026QHL/3017691.pdf","H")</f>
        <v>H</v>
      </c>
      <c r="W124" s="16" t="str">
        <f>HYPERLINK("http://www.aruplab.com/Testing-Information/resources/HotLines/TDMix/Jan2026QHL/3017691.xlsx","T")</f>
        <v>T</v>
      </c>
      <c r="X124" s="7" t="s">
        <v>0</v>
      </c>
      <c r="Y124" s="16" t="str">
        <f>HYPERLINK("https://connect.aruplab.com/Pricing/TestPrice/3017691/D01202026","P")</f>
        <v>P</v>
      </c>
      <c r="Z124" s="8">
        <v>45910</v>
      </c>
    </row>
    <row r="125" spans="1:26" ht="165" x14ac:dyDescent="0.25">
      <c r="A125" s="6" t="s">
        <v>380</v>
      </c>
      <c r="B125" s="6" t="s">
        <v>381</v>
      </c>
      <c r="C125" s="6" t="s">
        <v>382</v>
      </c>
      <c r="D125" s="7" t="s">
        <v>0</v>
      </c>
      <c r="E125" s="7" t="s">
        <v>0</v>
      </c>
      <c r="F125" s="7" t="s">
        <v>34</v>
      </c>
      <c r="G125" s="7" t="s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7" t="s">
        <v>0</v>
      </c>
      <c r="M125" s="7" t="s">
        <v>0</v>
      </c>
      <c r="N125" s="7" t="s">
        <v>0</v>
      </c>
      <c r="O125" s="7" t="s">
        <v>0</v>
      </c>
      <c r="P125" s="7" t="s">
        <v>0</v>
      </c>
      <c r="Q125" s="7" t="s">
        <v>0</v>
      </c>
      <c r="R125" s="7" t="s">
        <v>0</v>
      </c>
      <c r="S125" s="7" t="s">
        <v>0</v>
      </c>
      <c r="T125" s="7" t="s">
        <v>0</v>
      </c>
      <c r="U125" s="7" t="s">
        <v>0</v>
      </c>
      <c r="V125" s="16" t="str">
        <f>HYPERLINK("http://www.aruplab.com/Testing-Information/resources/HotLines/HotLineDocs/Jan2026QHL/3018776.pdf","H")</f>
        <v>H</v>
      </c>
      <c r="W125" s="7" t="s">
        <v>0</v>
      </c>
      <c r="X125" s="7" t="s">
        <v>0</v>
      </c>
      <c r="Y125" s="7" t="s">
        <v>0</v>
      </c>
      <c r="Z125" s="8">
        <v>46042</v>
      </c>
    </row>
    <row r="126" spans="1:26" ht="60" x14ac:dyDescent="0.25">
      <c r="A126" s="6" t="s">
        <v>383</v>
      </c>
      <c r="B126" s="6" t="s">
        <v>384</v>
      </c>
      <c r="C126" s="6" t="s">
        <v>385</v>
      </c>
      <c r="D126" s="7" t="s">
        <v>34</v>
      </c>
      <c r="E126" s="7" t="s">
        <v>0</v>
      </c>
      <c r="F126" s="7" t="s">
        <v>0</v>
      </c>
      <c r="G126" s="7" t="s">
        <v>0</v>
      </c>
      <c r="H126" s="7" t="s">
        <v>0</v>
      </c>
      <c r="I126" s="7" t="s">
        <v>0</v>
      </c>
      <c r="J126" s="7" t="s">
        <v>0</v>
      </c>
      <c r="K126" s="7" t="s">
        <v>0</v>
      </c>
      <c r="L126" s="7" t="s">
        <v>0</v>
      </c>
      <c r="M126" s="7" t="s">
        <v>0</v>
      </c>
      <c r="N126" s="7" t="s">
        <v>0</v>
      </c>
      <c r="O126" s="7" t="s">
        <v>0</v>
      </c>
      <c r="P126" s="7" t="s">
        <v>0</v>
      </c>
      <c r="Q126" s="7" t="s">
        <v>0</v>
      </c>
      <c r="R126" s="7" t="s">
        <v>0</v>
      </c>
      <c r="S126" s="7" t="s">
        <v>0</v>
      </c>
      <c r="T126" s="7" t="s">
        <v>0</v>
      </c>
      <c r="U126" s="7" t="s">
        <v>0</v>
      </c>
      <c r="V126" s="16" t="str">
        <f>HYPERLINK("http://www.aruplab.com/Testing-Information/resources/HotLines/HotLineDocs/Jan2026QHL/3018922.pdf","H")</f>
        <v>H</v>
      </c>
      <c r="W126" s="16" t="str">
        <f>HYPERLINK("http://www.aruplab.com/Testing-Information/resources/HotLines/TDMix/Jan2026QHL/3018922.xlsx","T")</f>
        <v>T</v>
      </c>
      <c r="X126" s="7" t="s">
        <v>0</v>
      </c>
      <c r="Y126" s="16" t="str">
        <f>HYPERLINK("https://connect.aruplab.com/Pricing/TestPrice/3018922/D01202026","P")</f>
        <v>P</v>
      </c>
      <c r="Z126" s="8">
        <v>46042</v>
      </c>
    </row>
    <row r="127" spans="1:26" ht="75" x14ac:dyDescent="0.25">
      <c r="A127" s="6" t="s">
        <v>386</v>
      </c>
      <c r="B127" s="6" t="s">
        <v>387</v>
      </c>
      <c r="C127" s="6" t="s">
        <v>388</v>
      </c>
      <c r="D127" s="7" t="s">
        <v>0</v>
      </c>
      <c r="E127" s="7" t="s">
        <v>0</v>
      </c>
      <c r="F127" s="7" t="s">
        <v>0</v>
      </c>
      <c r="G127" s="7" t="s">
        <v>0</v>
      </c>
      <c r="H127" s="7" t="s">
        <v>0</v>
      </c>
      <c r="I127" s="7" t="s">
        <v>0</v>
      </c>
      <c r="J127" s="7" t="s">
        <v>0</v>
      </c>
      <c r="K127" s="7" t="s">
        <v>0</v>
      </c>
      <c r="L127" s="7" t="s">
        <v>0</v>
      </c>
      <c r="M127" s="7" t="s">
        <v>0</v>
      </c>
      <c r="N127" s="7" t="s">
        <v>0</v>
      </c>
      <c r="O127" s="7" t="s">
        <v>34</v>
      </c>
      <c r="P127" s="7" t="s">
        <v>0</v>
      </c>
      <c r="Q127" s="7" t="s">
        <v>0</v>
      </c>
      <c r="R127" s="7" t="s">
        <v>0</v>
      </c>
      <c r="S127" s="7" t="s">
        <v>0</v>
      </c>
      <c r="T127" s="7" t="s">
        <v>0</v>
      </c>
      <c r="U127" s="7" t="s">
        <v>0</v>
      </c>
      <c r="V127" s="16" t="str">
        <f>HYPERLINK("http://www.aruplab.com/Testing-Information/resources/HotLines/HotLineDocs/Jan2026QHL/3018940.pdf","H")</f>
        <v>H</v>
      </c>
      <c r="W127" s="7" t="s">
        <v>0</v>
      </c>
      <c r="X127" s="16" t="str">
        <f>HYPERLINK("http://www.aruplab.com/Testing-Information/resources/HotLines/Sample_Reports/Jan2026QHL/3018940_Chimerism Recipient Pretransplant Process and Hold_STR PRE PR.pdf","E")</f>
        <v>E</v>
      </c>
      <c r="Y127" s="7" t="s">
        <v>0</v>
      </c>
      <c r="Z127" s="8">
        <v>46042</v>
      </c>
    </row>
    <row r="128" spans="1:26" ht="30" x14ac:dyDescent="0.25">
      <c r="A128" s="6" t="s">
        <v>389</v>
      </c>
      <c r="B128" s="6" t="s">
        <v>390</v>
      </c>
      <c r="C128" s="6" t="s">
        <v>391</v>
      </c>
      <c r="D128" s="7" t="s">
        <v>0</v>
      </c>
      <c r="E128" s="7" t="s">
        <v>0</v>
      </c>
      <c r="F128" s="7" t="s">
        <v>34</v>
      </c>
      <c r="G128" s="7" t="s">
        <v>0</v>
      </c>
      <c r="H128" s="7" t="s">
        <v>0</v>
      </c>
      <c r="I128" s="7" t="s">
        <v>0</v>
      </c>
      <c r="J128" s="7" t="s">
        <v>0</v>
      </c>
      <c r="K128" s="7" t="s">
        <v>0</v>
      </c>
      <c r="L128" s="7" t="s">
        <v>0</v>
      </c>
      <c r="M128" s="7" t="s">
        <v>0</v>
      </c>
      <c r="N128" s="7" t="s">
        <v>0</v>
      </c>
      <c r="O128" s="7" t="s">
        <v>0</v>
      </c>
      <c r="P128" s="7" t="s">
        <v>0</v>
      </c>
      <c r="Q128" s="7" t="s">
        <v>0</v>
      </c>
      <c r="R128" s="7" t="s">
        <v>0</v>
      </c>
      <c r="S128" s="7" t="s">
        <v>0</v>
      </c>
      <c r="T128" s="7" t="s">
        <v>0</v>
      </c>
      <c r="U128" s="7" t="s">
        <v>0</v>
      </c>
      <c r="V128" s="16" t="str">
        <f>HYPERLINK("http://www.aruplab.com/Testing-Information/resources/HotLines/HotLineDocs/Jan2026QHL/3019269.pdf","H")</f>
        <v>H</v>
      </c>
      <c r="W128" s="7" t="s">
        <v>0</v>
      </c>
      <c r="X128" s="7" t="s">
        <v>0</v>
      </c>
      <c r="Y128" s="7" t="s">
        <v>0</v>
      </c>
      <c r="Z128" s="8">
        <v>46042</v>
      </c>
    </row>
    <row r="129" spans="1:26" ht="45" x14ac:dyDescent="0.25">
      <c r="A129" s="6" t="s">
        <v>392</v>
      </c>
      <c r="B129" s="6" t="s">
        <v>393</v>
      </c>
      <c r="C129" s="6" t="s">
        <v>394</v>
      </c>
      <c r="D129" s="7" t="s">
        <v>34</v>
      </c>
      <c r="E129" s="7" t="s">
        <v>0</v>
      </c>
      <c r="F129" s="7" t="s">
        <v>0</v>
      </c>
      <c r="G129" s="7" t="s">
        <v>0</v>
      </c>
      <c r="H129" s="7" t="s">
        <v>0</v>
      </c>
      <c r="I129" s="7" t="s">
        <v>0</v>
      </c>
      <c r="J129" s="7" t="s">
        <v>0</v>
      </c>
      <c r="K129" s="7" t="s">
        <v>0</v>
      </c>
      <c r="L129" s="7" t="s">
        <v>0</v>
      </c>
      <c r="M129" s="7" t="s">
        <v>0</v>
      </c>
      <c r="N129" s="7" t="s">
        <v>0</v>
      </c>
      <c r="O129" s="7" t="s">
        <v>0</v>
      </c>
      <c r="P129" s="7" t="s">
        <v>0</v>
      </c>
      <c r="Q129" s="7" t="s">
        <v>0</v>
      </c>
      <c r="R129" s="7" t="s">
        <v>0</v>
      </c>
      <c r="S129" s="7" t="s">
        <v>0</v>
      </c>
      <c r="T129" s="7" t="s">
        <v>0</v>
      </c>
      <c r="U129" s="7" t="s">
        <v>0</v>
      </c>
      <c r="V129" s="16" t="str">
        <f>HYPERLINK("http://www.aruplab.com/Testing-Information/resources/HotLines/HotLineDocs/Jan2026QHL/3019895.pdf","H")</f>
        <v>H</v>
      </c>
      <c r="W129" s="16" t="str">
        <f>HYPERLINK("http://www.aruplab.com/Testing-Information/resources/HotLines/TDMix/Jan2026QHL/3019895.xlsx","T")</f>
        <v>T</v>
      </c>
      <c r="X129" s="7" t="s">
        <v>0</v>
      </c>
      <c r="Y129" s="16" t="str">
        <f>HYPERLINK("https://connect.aruplab.com/Pricing/TestPrice/3019895/D01202026","P")</f>
        <v>P</v>
      </c>
      <c r="Z129" s="8">
        <v>45946</v>
      </c>
    </row>
    <row r="130" spans="1:26" ht="30" x14ac:dyDescent="0.25">
      <c r="A130" s="6" t="s">
        <v>395</v>
      </c>
      <c r="B130" s="6" t="s">
        <v>396</v>
      </c>
      <c r="C130" s="6" t="s">
        <v>397</v>
      </c>
      <c r="D130" s="7" t="s">
        <v>34</v>
      </c>
      <c r="E130" s="7" t="s">
        <v>0</v>
      </c>
      <c r="F130" s="7" t="s">
        <v>0</v>
      </c>
      <c r="G130" s="7" t="s">
        <v>0</v>
      </c>
      <c r="H130" s="7" t="s">
        <v>0</v>
      </c>
      <c r="I130" s="7" t="s">
        <v>0</v>
      </c>
      <c r="J130" s="7" t="s">
        <v>0</v>
      </c>
      <c r="K130" s="7" t="s">
        <v>0</v>
      </c>
      <c r="L130" s="7" t="s">
        <v>0</v>
      </c>
      <c r="M130" s="7" t="s">
        <v>0</v>
      </c>
      <c r="N130" s="7" t="s">
        <v>0</v>
      </c>
      <c r="O130" s="7" t="s">
        <v>0</v>
      </c>
      <c r="P130" s="7" t="s">
        <v>0</v>
      </c>
      <c r="Q130" s="7" t="s">
        <v>0</v>
      </c>
      <c r="R130" s="7" t="s">
        <v>0</v>
      </c>
      <c r="S130" s="7" t="s">
        <v>0</v>
      </c>
      <c r="T130" s="7" t="s">
        <v>0</v>
      </c>
      <c r="U130" s="7" t="s">
        <v>0</v>
      </c>
      <c r="V130" s="16" t="str">
        <f>HYPERLINK("http://www.aruplab.com/Testing-Information/resources/HotLines/HotLineDocs/Jan2026QHL/3019936.pdf","H")</f>
        <v>H</v>
      </c>
      <c r="W130" s="16" t="str">
        <f>HYPERLINK("http://www.aruplab.com/Testing-Information/resources/HotLines/TDMix/Jan2026QHL/3019936.xlsx","T")</f>
        <v>T</v>
      </c>
      <c r="X130" s="16" t="str">
        <f>HYPERLINK("http://www.aruplab.com/Testing-Information/resources/HotLines/Sample_Reports/Jan2026QHL/3019936_Plasmalogens Red Blood Cells_PLSMGN RBC.pdf","E")</f>
        <v>E</v>
      </c>
      <c r="Y130" s="16" t="str">
        <f>HYPERLINK("https://connect.aruplab.com/Pricing/TestPrice/3019936/D01202026","P")</f>
        <v>P</v>
      </c>
      <c r="Z130" s="8">
        <v>46042</v>
      </c>
    </row>
    <row r="131" spans="1:26" ht="45" x14ac:dyDescent="0.25">
      <c r="A131" s="6" t="s">
        <v>398</v>
      </c>
      <c r="B131" s="6" t="s">
        <v>399</v>
      </c>
      <c r="C131" s="6" t="s">
        <v>400</v>
      </c>
      <c r="D131" s="7" t="s">
        <v>34</v>
      </c>
      <c r="E131" s="7" t="s">
        <v>0</v>
      </c>
      <c r="F131" s="7" t="s">
        <v>0</v>
      </c>
      <c r="G131" s="7" t="s">
        <v>0</v>
      </c>
      <c r="H131" s="7" t="s">
        <v>0</v>
      </c>
      <c r="I131" s="7" t="s">
        <v>0</v>
      </c>
      <c r="J131" s="7" t="s">
        <v>0</v>
      </c>
      <c r="K131" s="7" t="s">
        <v>0</v>
      </c>
      <c r="L131" s="7" t="s">
        <v>0</v>
      </c>
      <c r="M131" s="7" t="s">
        <v>0</v>
      </c>
      <c r="N131" s="7" t="s">
        <v>0</v>
      </c>
      <c r="O131" s="7" t="s">
        <v>0</v>
      </c>
      <c r="P131" s="7" t="s">
        <v>0</v>
      </c>
      <c r="Q131" s="7" t="s">
        <v>0</v>
      </c>
      <c r="R131" s="7" t="s">
        <v>0</v>
      </c>
      <c r="S131" s="7" t="s">
        <v>0</v>
      </c>
      <c r="T131" s="7" t="s">
        <v>0</v>
      </c>
      <c r="U131" s="7" t="s">
        <v>0</v>
      </c>
      <c r="V131" s="16" t="str">
        <f>HYPERLINK("http://www.aruplab.com/Testing-Information/resources/HotLines/HotLineDocs/Jan2026QHL/3019943.pdf","H")</f>
        <v>H</v>
      </c>
      <c r="W131" s="16" t="str">
        <f>HYPERLINK("http://www.aruplab.com/Testing-Information/resources/HotLines/TDMix/Jan2026QHL/3019943.xlsx","T")</f>
        <v>T</v>
      </c>
      <c r="X131" s="7" t="s">
        <v>0</v>
      </c>
      <c r="Y131" s="16" t="str">
        <f>HYPERLINK("https://connect.aruplab.com/Pricing/TestPrice/3019943/D01202026","P")</f>
        <v>P</v>
      </c>
      <c r="Z131" s="8">
        <v>45978</v>
      </c>
    </row>
    <row r="132" spans="1:26" ht="45" x14ac:dyDescent="0.25">
      <c r="A132" s="6" t="s">
        <v>401</v>
      </c>
      <c r="B132" s="6" t="s">
        <v>402</v>
      </c>
      <c r="C132" s="6" t="s">
        <v>403</v>
      </c>
      <c r="D132" s="7" t="s">
        <v>34</v>
      </c>
      <c r="E132" s="7" t="s">
        <v>0</v>
      </c>
      <c r="F132" s="7" t="s">
        <v>0</v>
      </c>
      <c r="G132" s="7" t="s">
        <v>0</v>
      </c>
      <c r="H132" s="7" t="s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7" t="s">
        <v>0</v>
      </c>
      <c r="N132" s="7" t="s">
        <v>0</v>
      </c>
      <c r="O132" s="7" t="s">
        <v>0</v>
      </c>
      <c r="P132" s="7" t="s">
        <v>0</v>
      </c>
      <c r="Q132" s="7" t="s">
        <v>0</v>
      </c>
      <c r="R132" s="7" t="s">
        <v>0</v>
      </c>
      <c r="S132" s="7" t="s">
        <v>0</v>
      </c>
      <c r="T132" s="7" t="s">
        <v>0</v>
      </c>
      <c r="U132" s="7" t="s">
        <v>0</v>
      </c>
      <c r="V132" s="16" t="str">
        <f>HYPERLINK("http://www.aruplab.com/Testing-Information/resources/HotLines/HotLineDocs/Jan2026QHL/3019947.pdf","H")</f>
        <v>H</v>
      </c>
      <c r="W132" s="16" t="str">
        <f>HYPERLINK("http://www.aruplab.com/Testing-Information/resources/HotLines/TDMix/Jan2026QHL/3019947.xlsx","T")</f>
        <v>T</v>
      </c>
      <c r="X132" s="7" t="s">
        <v>0</v>
      </c>
      <c r="Y132" s="16" t="str">
        <f>HYPERLINK("https://connect.aruplab.com/Pricing/TestPrice/3019947/D01202026","P")</f>
        <v>P</v>
      </c>
      <c r="Z132" s="8">
        <v>45978</v>
      </c>
    </row>
    <row r="133" spans="1:26" ht="75" x14ac:dyDescent="0.25">
      <c r="A133" s="6" t="s">
        <v>404</v>
      </c>
      <c r="B133" s="6" t="s">
        <v>405</v>
      </c>
      <c r="C133" s="6" t="s">
        <v>406</v>
      </c>
      <c r="D133" s="7" t="s">
        <v>34</v>
      </c>
      <c r="E133" s="7" t="s">
        <v>0</v>
      </c>
      <c r="F133" s="7" t="s">
        <v>0</v>
      </c>
      <c r="G133" s="7" t="s">
        <v>0</v>
      </c>
      <c r="H133" s="7" t="s">
        <v>0</v>
      </c>
      <c r="I133" s="7" t="s">
        <v>0</v>
      </c>
      <c r="J133" s="7" t="s">
        <v>0</v>
      </c>
      <c r="K133" s="7" t="s">
        <v>0</v>
      </c>
      <c r="L133" s="7" t="s">
        <v>0</v>
      </c>
      <c r="M133" s="7" t="s">
        <v>0</v>
      </c>
      <c r="N133" s="7" t="s">
        <v>0</v>
      </c>
      <c r="O133" s="7" t="s">
        <v>0</v>
      </c>
      <c r="P133" s="7" t="s">
        <v>0</v>
      </c>
      <c r="Q133" s="7" t="s">
        <v>0</v>
      </c>
      <c r="R133" s="7" t="s">
        <v>0</v>
      </c>
      <c r="S133" s="7" t="s">
        <v>0</v>
      </c>
      <c r="T133" s="7" t="s">
        <v>0</v>
      </c>
      <c r="U133" s="7" t="s">
        <v>0</v>
      </c>
      <c r="V133" s="16" t="str">
        <f>HYPERLINK("http://www.aruplab.com/Testing-Information/resources/HotLines/HotLineDocs/Jan2026QHL/3019951.pdf","H")</f>
        <v>H</v>
      </c>
      <c r="W133" s="16" t="str">
        <f>HYPERLINK("http://www.aruplab.com/Testing-Information/resources/HotLines/TDMix/Jan2026QHL/3019951.xlsx","T")</f>
        <v>T</v>
      </c>
      <c r="X133" s="7" t="s">
        <v>0</v>
      </c>
      <c r="Y133" s="16" t="str">
        <f>HYPERLINK("https://connect.aruplab.com/Pricing/TestPrice/3019951/D01202026","P")</f>
        <v>P</v>
      </c>
      <c r="Z133" s="8">
        <v>45978</v>
      </c>
    </row>
    <row r="134" spans="1:26" ht="75" x14ac:dyDescent="0.25">
      <c r="A134" s="6" t="s">
        <v>407</v>
      </c>
      <c r="B134" s="6" t="s">
        <v>408</v>
      </c>
      <c r="C134" s="6" t="s">
        <v>409</v>
      </c>
      <c r="D134" s="7" t="s">
        <v>34</v>
      </c>
      <c r="E134" s="7" t="s">
        <v>0</v>
      </c>
      <c r="F134" s="7" t="s">
        <v>0</v>
      </c>
      <c r="G134" s="7" t="s">
        <v>0</v>
      </c>
      <c r="H134" s="7" t="s">
        <v>0</v>
      </c>
      <c r="I134" s="7" t="s">
        <v>0</v>
      </c>
      <c r="J134" s="7" t="s">
        <v>0</v>
      </c>
      <c r="K134" s="7" t="s">
        <v>0</v>
      </c>
      <c r="L134" s="7" t="s">
        <v>0</v>
      </c>
      <c r="M134" s="7" t="s">
        <v>0</v>
      </c>
      <c r="N134" s="7" t="s">
        <v>0</v>
      </c>
      <c r="O134" s="7" t="s">
        <v>0</v>
      </c>
      <c r="P134" s="7" t="s">
        <v>0</v>
      </c>
      <c r="Q134" s="7" t="s">
        <v>0</v>
      </c>
      <c r="R134" s="7" t="s">
        <v>0</v>
      </c>
      <c r="S134" s="7" t="s">
        <v>0</v>
      </c>
      <c r="T134" s="7" t="s">
        <v>0</v>
      </c>
      <c r="U134" s="7" t="s">
        <v>0</v>
      </c>
      <c r="V134" s="16" t="str">
        <f>HYPERLINK("http://www.aruplab.com/Testing-Information/resources/HotLines/HotLineDocs/Jan2026QHL/3019953.pdf","H")</f>
        <v>H</v>
      </c>
      <c r="W134" s="16" t="str">
        <f>HYPERLINK("http://www.aruplab.com/Testing-Information/resources/HotLines/TDMix/Jan2026QHL/3019953.xlsx","T")</f>
        <v>T</v>
      </c>
      <c r="X134" s="7" t="s">
        <v>0</v>
      </c>
      <c r="Y134" s="16" t="str">
        <f>HYPERLINK("https://connect.aruplab.com/Pricing/TestPrice/3019953/D01202026","P")</f>
        <v>P</v>
      </c>
      <c r="Z134" s="8">
        <v>45978</v>
      </c>
    </row>
    <row r="135" spans="1:26" x14ac:dyDescent="0.25">
      <c r="A135" s="6" t="s">
        <v>410</v>
      </c>
      <c r="B135" s="6" t="s">
        <v>411</v>
      </c>
      <c r="C135" s="6" t="s">
        <v>412</v>
      </c>
      <c r="D135" s="7" t="s">
        <v>34</v>
      </c>
      <c r="E135" s="7" t="s">
        <v>0</v>
      </c>
      <c r="F135" s="7" t="s">
        <v>0</v>
      </c>
      <c r="G135" s="7" t="s">
        <v>0</v>
      </c>
      <c r="H135" s="7" t="s">
        <v>0</v>
      </c>
      <c r="I135" s="7" t="s">
        <v>0</v>
      </c>
      <c r="J135" s="7" t="s">
        <v>0</v>
      </c>
      <c r="K135" s="7" t="s">
        <v>0</v>
      </c>
      <c r="L135" s="7" t="s">
        <v>0</v>
      </c>
      <c r="M135" s="7" t="s">
        <v>0</v>
      </c>
      <c r="N135" s="7" t="s">
        <v>0</v>
      </c>
      <c r="O135" s="7" t="s">
        <v>0</v>
      </c>
      <c r="P135" s="7" t="s">
        <v>0</v>
      </c>
      <c r="Q135" s="7" t="s">
        <v>0</v>
      </c>
      <c r="R135" s="7" t="s">
        <v>0</v>
      </c>
      <c r="S135" s="7" t="s">
        <v>0</v>
      </c>
      <c r="T135" s="7" t="s">
        <v>0</v>
      </c>
      <c r="U135" s="7" t="s">
        <v>0</v>
      </c>
      <c r="V135" s="16" t="str">
        <f>HYPERLINK("http://www.aruplab.com/Testing-Information/resources/HotLines/HotLineDocs/Jan2026QHL/3020127.pdf","H")</f>
        <v>H</v>
      </c>
      <c r="W135" s="16" t="str">
        <f>HYPERLINK("http://www.aruplab.com/Testing-Information/resources/HotLines/TDMix/Jan2026QHL/3020127.xlsx","T")</f>
        <v>T</v>
      </c>
      <c r="X135" s="16" t="str">
        <f>HYPERLINK("http://www.aruplab.com/Testing-Information/resources/HotLines/Sample_Reports/Jan2026QHL/3020127_FISH Interphase_FISH INT.pdf","E")</f>
        <v>E</v>
      </c>
      <c r="Y135" s="16" t="str">
        <f>HYPERLINK("https://connect.aruplab.com/Pricing/TestPrice/3020127/D01202026","P")</f>
        <v>P</v>
      </c>
      <c r="Z135" s="8">
        <v>46042</v>
      </c>
    </row>
    <row r="136" spans="1:26" ht="45" x14ac:dyDescent="0.25">
      <c r="A136" s="6" t="s">
        <v>413</v>
      </c>
      <c r="B136" s="6" t="s">
        <v>414</v>
      </c>
      <c r="C136" s="6" t="s">
        <v>415</v>
      </c>
      <c r="D136" s="7" t="s">
        <v>34</v>
      </c>
      <c r="E136" s="7" t="s">
        <v>0</v>
      </c>
      <c r="F136" s="7" t="s">
        <v>0</v>
      </c>
      <c r="G136" s="7" t="s">
        <v>0</v>
      </c>
      <c r="H136" s="7" t="s">
        <v>0</v>
      </c>
      <c r="I136" s="7" t="s">
        <v>0</v>
      </c>
      <c r="J136" s="7" t="s">
        <v>0</v>
      </c>
      <c r="K136" s="7" t="s">
        <v>0</v>
      </c>
      <c r="L136" s="7" t="s">
        <v>0</v>
      </c>
      <c r="M136" s="7" t="s">
        <v>0</v>
      </c>
      <c r="N136" s="7" t="s">
        <v>0</v>
      </c>
      <c r="O136" s="7" t="s">
        <v>0</v>
      </c>
      <c r="P136" s="7" t="s">
        <v>0</v>
      </c>
      <c r="Q136" s="7" t="s">
        <v>0</v>
      </c>
      <c r="R136" s="7" t="s">
        <v>0</v>
      </c>
      <c r="S136" s="7" t="s">
        <v>0</v>
      </c>
      <c r="T136" s="7" t="s">
        <v>0</v>
      </c>
      <c r="U136" s="7" t="s">
        <v>0</v>
      </c>
      <c r="V136" s="16" t="str">
        <f>HYPERLINK("http://www.aruplab.com/Testing-Information/resources/HotLines/HotLineDocs/Jan2026QHL/3020130.pdf","H")</f>
        <v>H</v>
      </c>
      <c r="W136" s="16" t="str">
        <f>HYPERLINK("http://www.aruplab.com/Testing-Information/resources/HotLines/TDMix/Jan2026QHL/3020130.xlsx","T")</f>
        <v>T</v>
      </c>
      <c r="X136" s="7" t="s">
        <v>0</v>
      </c>
      <c r="Y136" s="16" t="str">
        <f>HYPERLINK("https://connect.aruplab.com/Pricing/TestPrice/3020130/D01202026","P")</f>
        <v>P</v>
      </c>
      <c r="Z136" s="8">
        <v>45945</v>
      </c>
    </row>
    <row r="137" spans="1:26" ht="45" x14ac:dyDescent="0.25">
      <c r="A137" s="6" t="s">
        <v>416</v>
      </c>
      <c r="B137" s="6" t="s">
        <v>417</v>
      </c>
      <c r="C137" s="6" t="s">
        <v>418</v>
      </c>
      <c r="D137" s="7" t="s">
        <v>34</v>
      </c>
      <c r="E137" s="7" t="s">
        <v>0</v>
      </c>
      <c r="F137" s="7" t="s">
        <v>0</v>
      </c>
      <c r="G137" s="7" t="s">
        <v>0</v>
      </c>
      <c r="H137" s="7" t="s">
        <v>0</v>
      </c>
      <c r="I137" s="7" t="s">
        <v>0</v>
      </c>
      <c r="J137" s="7" t="s">
        <v>0</v>
      </c>
      <c r="K137" s="7" t="s">
        <v>0</v>
      </c>
      <c r="L137" s="7" t="s">
        <v>0</v>
      </c>
      <c r="M137" s="7" t="s">
        <v>0</v>
      </c>
      <c r="N137" s="7" t="s">
        <v>0</v>
      </c>
      <c r="O137" s="7" t="s">
        <v>0</v>
      </c>
      <c r="P137" s="7" t="s">
        <v>0</v>
      </c>
      <c r="Q137" s="7" t="s">
        <v>0</v>
      </c>
      <c r="R137" s="7" t="s">
        <v>0</v>
      </c>
      <c r="S137" s="7" t="s">
        <v>0</v>
      </c>
      <c r="T137" s="7" t="s">
        <v>0</v>
      </c>
      <c r="U137" s="7" t="s">
        <v>0</v>
      </c>
      <c r="V137" s="16" t="str">
        <f>HYPERLINK("http://www.aruplab.com/Testing-Information/resources/HotLines/HotLineDocs/Jan2026QHL/3020158.pdf","H")</f>
        <v>H</v>
      </c>
      <c r="W137" s="16" t="str">
        <f>HYPERLINK("http://www.aruplab.com/Testing-Information/resources/HotLines/TDMix/Jan2026QHL/3020158.xlsx","T")</f>
        <v>T</v>
      </c>
      <c r="X137" s="7" t="s">
        <v>0</v>
      </c>
      <c r="Y137" s="16" t="str">
        <f>HYPERLINK("https://connect.aruplab.com/Pricing/TestPrice/3020158/D01202026","P")</f>
        <v>P</v>
      </c>
      <c r="Z137" s="8">
        <v>45939</v>
      </c>
    </row>
    <row r="138" spans="1:26" ht="45" x14ac:dyDescent="0.25">
      <c r="A138" s="6" t="s">
        <v>419</v>
      </c>
      <c r="B138" s="6" t="s">
        <v>420</v>
      </c>
      <c r="C138" s="6" t="s">
        <v>421</v>
      </c>
      <c r="D138" s="7" t="s">
        <v>34</v>
      </c>
      <c r="E138" s="7" t="s">
        <v>0</v>
      </c>
      <c r="F138" s="7" t="s">
        <v>0</v>
      </c>
      <c r="G138" s="7" t="s">
        <v>0</v>
      </c>
      <c r="H138" s="7" t="s">
        <v>0</v>
      </c>
      <c r="I138" s="7" t="s">
        <v>0</v>
      </c>
      <c r="J138" s="7" t="s">
        <v>0</v>
      </c>
      <c r="K138" s="7" t="s">
        <v>0</v>
      </c>
      <c r="L138" s="7" t="s">
        <v>0</v>
      </c>
      <c r="M138" s="7" t="s">
        <v>0</v>
      </c>
      <c r="N138" s="7" t="s">
        <v>0</v>
      </c>
      <c r="O138" s="7" t="s">
        <v>0</v>
      </c>
      <c r="P138" s="7" t="s">
        <v>0</v>
      </c>
      <c r="Q138" s="7" t="s">
        <v>0</v>
      </c>
      <c r="R138" s="7" t="s">
        <v>0</v>
      </c>
      <c r="S138" s="7" t="s">
        <v>0</v>
      </c>
      <c r="T138" s="7" t="s">
        <v>0</v>
      </c>
      <c r="U138" s="7" t="s">
        <v>0</v>
      </c>
      <c r="V138" s="16" t="str">
        <f>HYPERLINK("http://www.aruplab.com/Testing-Information/resources/HotLines/HotLineDocs/Jan2026QHL/3020169.pdf","H")</f>
        <v>H</v>
      </c>
      <c r="W138" s="16" t="str">
        <f>HYPERLINK("http://www.aruplab.com/Testing-Information/resources/HotLines/TDMix/Jan2026QHL/3020169.xlsx","T")</f>
        <v>T</v>
      </c>
      <c r="X138" s="16" t="str">
        <f>HYPERLINK("http://www.aruplab.com/Testing-Information/resources/HotLines/Sample_Reports/Jan2026QHL/3020169_von Willebrand Panel_VW PAN.pdf","E")</f>
        <v>E</v>
      </c>
      <c r="Y138" s="16" t="str">
        <f>HYPERLINK("https://connect.aruplab.com/Pricing/TestPrice/3020169/D01202026","P")</f>
        <v>P</v>
      </c>
      <c r="Z138" s="8">
        <v>46042</v>
      </c>
    </row>
    <row r="139" spans="1:26" ht="90" x14ac:dyDescent="0.25">
      <c r="A139" s="6" t="s">
        <v>422</v>
      </c>
      <c r="B139" s="6" t="s">
        <v>423</v>
      </c>
      <c r="C139" s="6" t="s">
        <v>424</v>
      </c>
      <c r="D139" s="7" t="s">
        <v>34</v>
      </c>
      <c r="E139" s="7" t="s">
        <v>0</v>
      </c>
      <c r="F139" s="7" t="s">
        <v>0</v>
      </c>
      <c r="G139" s="7" t="s">
        <v>0</v>
      </c>
      <c r="H139" s="7" t="s">
        <v>0</v>
      </c>
      <c r="I139" s="7" t="s">
        <v>0</v>
      </c>
      <c r="J139" s="7" t="s">
        <v>0</v>
      </c>
      <c r="K139" s="7" t="s">
        <v>0</v>
      </c>
      <c r="L139" s="7" t="s">
        <v>0</v>
      </c>
      <c r="M139" s="7" t="s">
        <v>0</v>
      </c>
      <c r="N139" s="7" t="s">
        <v>0</v>
      </c>
      <c r="O139" s="7" t="s">
        <v>0</v>
      </c>
      <c r="P139" s="7" t="s">
        <v>0</v>
      </c>
      <c r="Q139" s="7" t="s">
        <v>0</v>
      </c>
      <c r="R139" s="7" t="s">
        <v>0</v>
      </c>
      <c r="S139" s="7" t="s">
        <v>0</v>
      </c>
      <c r="T139" s="7" t="s">
        <v>0</v>
      </c>
      <c r="U139" s="7" t="s">
        <v>0</v>
      </c>
      <c r="V139" s="16" t="str">
        <f>HYPERLINK("http://www.aruplab.com/Testing-Information/resources/HotLines/HotLineDocs/Jan2026QHL/3020170.pdf","H")</f>
        <v>H</v>
      </c>
      <c r="W139" s="16" t="str">
        <f>HYPERLINK("http://www.aruplab.com/Testing-Information/resources/HotLines/TDMix/Jan2026QHL/3020170.xlsx","T")</f>
        <v>T</v>
      </c>
      <c r="X139" s="16" t="str">
        <f>HYPERLINK("http://www.aruplab.com/Testing-Information/resources/HotLines/Sample_Reports/Jan2026QHL/3020170_von Willebrand Reflex Profile_VW RFLX.pdf","E")</f>
        <v>E</v>
      </c>
      <c r="Y139" s="16" t="str">
        <f>HYPERLINK("https://connect.aruplab.com/Pricing/TestPrice/3020170/D01202026","P")</f>
        <v>P</v>
      </c>
      <c r="Z139" s="8">
        <v>46042</v>
      </c>
    </row>
    <row r="140" spans="1:26" ht="60" x14ac:dyDescent="0.25">
      <c r="A140" s="6" t="s">
        <v>425</v>
      </c>
      <c r="B140" s="6" t="s">
        <v>426</v>
      </c>
      <c r="C140" s="6" t="s">
        <v>427</v>
      </c>
      <c r="D140" s="7" t="s">
        <v>34</v>
      </c>
      <c r="E140" s="7" t="s">
        <v>0</v>
      </c>
      <c r="F140" s="7" t="s">
        <v>0</v>
      </c>
      <c r="G140" s="7" t="s">
        <v>0</v>
      </c>
      <c r="H140" s="7" t="s">
        <v>0</v>
      </c>
      <c r="I140" s="7" t="s">
        <v>0</v>
      </c>
      <c r="J140" s="7" t="s">
        <v>0</v>
      </c>
      <c r="K140" s="7" t="s">
        <v>0</v>
      </c>
      <c r="L140" s="7" t="s">
        <v>0</v>
      </c>
      <c r="M140" s="7" t="s">
        <v>0</v>
      </c>
      <c r="N140" s="7" t="s">
        <v>0</v>
      </c>
      <c r="O140" s="7" t="s">
        <v>0</v>
      </c>
      <c r="P140" s="7" t="s">
        <v>0</v>
      </c>
      <c r="Q140" s="7" t="s">
        <v>0</v>
      </c>
      <c r="R140" s="7" t="s">
        <v>0</v>
      </c>
      <c r="S140" s="7" t="s">
        <v>0</v>
      </c>
      <c r="T140" s="7" t="s">
        <v>0</v>
      </c>
      <c r="U140" s="7" t="s">
        <v>0</v>
      </c>
      <c r="V140" s="16" t="str">
        <f>HYPERLINK("http://www.aruplab.com/Testing-Information/resources/HotLines/HotLineDocs/Jan2026QHL/3020171.pdf","H")</f>
        <v>H</v>
      </c>
      <c r="W140" s="16" t="str">
        <f>HYPERLINK("http://www.aruplab.com/Testing-Information/resources/HotLines/TDMix/Jan2026QHL/3020171.xlsx","T")</f>
        <v>T</v>
      </c>
      <c r="X140" s="16" t="str">
        <f>HYPERLINK("http://www.aruplab.com/Testing-Information/resources/HotLines/Sample_Reports/Jan2026QHL/3020171_von Willebrand Comprehensive Profile_VW COMP.pdf","E")</f>
        <v>E</v>
      </c>
      <c r="Y140" s="16" t="str">
        <f>HYPERLINK("https://connect.aruplab.com/Pricing/TestPrice/3020171/D01202026","P")</f>
        <v>P</v>
      </c>
      <c r="Z140" s="8">
        <v>46042</v>
      </c>
    </row>
    <row r="141" spans="1:26" ht="75" x14ac:dyDescent="0.25">
      <c r="A141" s="6" t="s">
        <v>428</v>
      </c>
      <c r="B141" s="6" t="s">
        <v>429</v>
      </c>
      <c r="C141" s="6" t="s">
        <v>430</v>
      </c>
      <c r="D141" s="7" t="s">
        <v>34</v>
      </c>
      <c r="E141" s="7" t="s">
        <v>0</v>
      </c>
      <c r="F141" s="7" t="s">
        <v>0</v>
      </c>
      <c r="G141" s="7" t="s">
        <v>0</v>
      </c>
      <c r="H141" s="7" t="s">
        <v>0</v>
      </c>
      <c r="I141" s="7" t="s">
        <v>0</v>
      </c>
      <c r="J141" s="7" t="s">
        <v>0</v>
      </c>
      <c r="K141" s="7" t="s">
        <v>0</v>
      </c>
      <c r="L141" s="7" t="s">
        <v>0</v>
      </c>
      <c r="M141" s="7" t="s">
        <v>0</v>
      </c>
      <c r="N141" s="7" t="s">
        <v>0</v>
      </c>
      <c r="O141" s="7" t="s">
        <v>0</v>
      </c>
      <c r="P141" s="7" t="s">
        <v>0</v>
      </c>
      <c r="Q141" s="7" t="s">
        <v>0</v>
      </c>
      <c r="R141" s="7" t="s">
        <v>0</v>
      </c>
      <c r="S141" s="7" t="s">
        <v>0</v>
      </c>
      <c r="T141" s="7" t="s">
        <v>0</v>
      </c>
      <c r="U141" s="7" t="s">
        <v>0</v>
      </c>
      <c r="V141" s="16" t="str">
        <f>HYPERLINK("http://www.aruplab.com/Testing-Information/resources/HotLines/HotLineDocs/Jan2026QHL/3020335.pdf","H")</f>
        <v>H</v>
      </c>
      <c r="W141" s="16" t="str">
        <f>HYPERLINK("http://www.aruplab.com/Testing-Information/resources/HotLines/TDMix/Jan2026QHL/3020335.xlsx","T")</f>
        <v>T</v>
      </c>
      <c r="X141" s="16" t="str">
        <f>HYPERLINK("http://www.aruplab.com/Testing-Information/resources/HotLines/Sample_Reports/Jan2026QHL/3020335_Allergen Hymenoptera Venoms With Components_VENOMS-COM.pdf","E")</f>
        <v>E</v>
      </c>
      <c r="Y141" s="16" t="str">
        <f>HYPERLINK("https://connect.aruplab.com/Pricing/TestPrice/3020335/D01202026","P")</f>
        <v>P</v>
      </c>
      <c r="Z141" s="8">
        <v>46042</v>
      </c>
    </row>
    <row r="142" spans="1:26" ht="45" x14ac:dyDescent="0.25">
      <c r="A142" s="6" t="s">
        <v>431</v>
      </c>
      <c r="B142" s="6" t="s">
        <v>432</v>
      </c>
      <c r="C142" s="6" t="s">
        <v>433</v>
      </c>
      <c r="D142" s="7" t="s">
        <v>34</v>
      </c>
      <c r="E142" s="7" t="s">
        <v>0</v>
      </c>
      <c r="F142" s="7" t="s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7" t="s">
        <v>0</v>
      </c>
      <c r="N142" s="7" t="s">
        <v>0</v>
      </c>
      <c r="O142" s="7" t="s">
        <v>0</v>
      </c>
      <c r="P142" s="7" t="s">
        <v>0</v>
      </c>
      <c r="Q142" s="7" t="s">
        <v>0</v>
      </c>
      <c r="R142" s="7" t="s">
        <v>0</v>
      </c>
      <c r="S142" s="7" t="s">
        <v>0</v>
      </c>
      <c r="T142" s="7" t="s">
        <v>0</v>
      </c>
      <c r="U142" s="7" t="s">
        <v>0</v>
      </c>
      <c r="V142" s="16" t="str">
        <f>HYPERLINK("http://www.aruplab.com/Testing-Information/resources/HotLines/HotLineDocs/Jan2026QHL/3020431.pdf","H")</f>
        <v>H</v>
      </c>
      <c r="W142" s="16" t="str">
        <f>HYPERLINK("http://www.aruplab.com/Testing-Information/resources/HotLines/TDMix/Jan2026QHL/3020431.xlsx","T")</f>
        <v>T</v>
      </c>
      <c r="X142" s="16" t="str">
        <f>HYPERLINK("http://www.aruplab.com/Testing-Information/resources/HotLines/Sample_Reports/Jan2026QHL/3020431_Vitamin B5 Pantothenic Acid Serum or Plasma_VIT B5 SP.pdf","E")</f>
        <v>E</v>
      </c>
      <c r="Y142" s="16" t="str">
        <f>HYPERLINK("https://connect.aruplab.com/Pricing/TestPrice/3020431/D01202026","P")</f>
        <v>P</v>
      </c>
      <c r="Z142" s="8">
        <v>46042</v>
      </c>
    </row>
    <row r="143" spans="1:26" ht="30" x14ac:dyDescent="0.25">
      <c r="A143" s="6" t="s">
        <v>434</v>
      </c>
      <c r="B143" s="6" t="s">
        <v>435</v>
      </c>
      <c r="C143" s="6" t="s">
        <v>436</v>
      </c>
      <c r="D143" s="7" t="s">
        <v>34</v>
      </c>
      <c r="E143" s="7" t="s">
        <v>0</v>
      </c>
      <c r="F143" s="7" t="s">
        <v>0</v>
      </c>
      <c r="G143" s="7" t="s">
        <v>0</v>
      </c>
      <c r="H143" s="7" t="s">
        <v>0</v>
      </c>
      <c r="I143" s="7" t="s">
        <v>0</v>
      </c>
      <c r="J143" s="7" t="s">
        <v>0</v>
      </c>
      <c r="K143" s="7" t="s">
        <v>0</v>
      </c>
      <c r="L143" s="7" t="s">
        <v>0</v>
      </c>
      <c r="M143" s="7" t="s">
        <v>0</v>
      </c>
      <c r="N143" s="7" t="s">
        <v>0</v>
      </c>
      <c r="O143" s="7" t="s">
        <v>0</v>
      </c>
      <c r="P143" s="7" t="s">
        <v>0</v>
      </c>
      <c r="Q143" s="7" t="s">
        <v>0</v>
      </c>
      <c r="R143" s="7" t="s">
        <v>0</v>
      </c>
      <c r="S143" s="7" t="s">
        <v>0</v>
      </c>
      <c r="T143" s="7" t="s">
        <v>0</v>
      </c>
      <c r="U143" s="7" t="s">
        <v>0</v>
      </c>
      <c r="V143" s="16" t="str">
        <f>HYPERLINK("http://www.aruplab.com/Testing-Information/resources/HotLines/HotLineDocs/Jan2026QHL/3020435.pdf","H")</f>
        <v>H</v>
      </c>
      <c r="W143" s="16" t="str">
        <f>HYPERLINK("http://www.aruplab.com/Testing-Information/resources/HotLines/TDMix/Jan2026QHL/3020435.xlsx","T")</f>
        <v>T</v>
      </c>
      <c r="X143" s="16" t="str">
        <f>HYPERLINK("http://www.aruplab.com/Testing-Information/resources/HotLines/Sample_Reports/Jan2026QHL/3020435_Vitamin B7 Biotin Serum or Plasma_VITAMB7 SP.pdf","E")</f>
        <v>E</v>
      </c>
      <c r="Y143" s="16" t="str">
        <f>HYPERLINK("https://connect.aruplab.com/Pricing/TestPrice/3020435/D01202026","P")</f>
        <v>P</v>
      </c>
      <c r="Z143" s="8">
        <v>46042</v>
      </c>
    </row>
    <row r="144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2025-12-30T17:12:22Z</dcterms:created>
  <dcterms:modified xsi:type="dcterms:W3CDTF">2025-12-31T17:22:42Z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2025-12-30T17:12:05Z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2d3beec2-8d68-4359-99f7-e03526ff9641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