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ummaryOfChanges\"/>
    </mc:Choice>
  </mc:AlternateContent>
  <xr:revisionPtr revIDLastSave="0" documentId="13_ncr:1_{7D6B23F3-4093-43CF-904E-A6BCE87690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f Changes (date dropdo" sheetId="1" r:id="rId1"/>
  </sheets>
  <definedNames>
    <definedName name="_xlnm.Print_Titles" localSheetId="0">'Summary Of Changes (date dropdo'!$1:$3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3" i="1" l="1"/>
  <c r="W173" i="1"/>
  <c r="V173" i="1"/>
  <c r="Y172" i="1"/>
  <c r="X172" i="1"/>
  <c r="W172" i="1"/>
  <c r="V172" i="1"/>
  <c r="Y171" i="1"/>
  <c r="W171" i="1"/>
  <c r="V171" i="1"/>
  <c r="Y170" i="1"/>
  <c r="X170" i="1"/>
  <c r="W170" i="1"/>
  <c r="V170" i="1"/>
  <c r="Y169" i="1"/>
  <c r="X169" i="1"/>
  <c r="W169" i="1"/>
  <c r="V169" i="1"/>
  <c r="Y168" i="1"/>
  <c r="X168" i="1"/>
  <c r="W168" i="1"/>
  <c r="V168" i="1"/>
  <c r="Y167" i="1"/>
  <c r="X167" i="1"/>
  <c r="W167" i="1"/>
  <c r="V167" i="1"/>
  <c r="Y166" i="1"/>
  <c r="X166" i="1"/>
  <c r="W166" i="1"/>
  <c r="V166" i="1"/>
  <c r="Y165" i="1"/>
  <c r="W165" i="1"/>
  <c r="V165" i="1"/>
  <c r="Y164" i="1"/>
  <c r="X164" i="1"/>
  <c r="W164" i="1"/>
  <c r="V164" i="1"/>
  <c r="Y163" i="1"/>
  <c r="X163" i="1"/>
  <c r="W163" i="1"/>
  <c r="V163" i="1"/>
  <c r="Y162" i="1"/>
  <c r="X162" i="1"/>
  <c r="W162" i="1"/>
  <c r="V162" i="1"/>
  <c r="Y161" i="1"/>
  <c r="X161" i="1"/>
  <c r="W161" i="1"/>
  <c r="V161" i="1"/>
  <c r="Y160" i="1"/>
  <c r="X160" i="1"/>
  <c r="W160" i="1"/>
  <c r="V160" i="1"/>
  <c r="Y159" i="1"/>
  <c r="W159" i="1"/>
  <c r="V159" i="1"/>
  <c r="Y158" i="1"/>
  <c r="W158" i="1"/>
  <c r="V158" i="1"/>
  <c r="Y157" i="1"/>
  <c r="W157" i="1"/>
  <c r="V157" i="1"/>
  <c r="Y156" i="1"/>
  <c r="W156" i="1"/>
  <c r="V156" i="1"/>
  <c r="Y155" i="1"/>
  <c r="W155" i="1"/>
  <c r="V155" i="1"/>
  <c r="Y154" i="1"/>
  <c r="X154" i="1"/>
  <c r="W154" i="1"/>
  <c r="V154" i="1"/>
  <c r="Y153" i="1"/>
  <c r="W153" i="1"/>
  <c r="V153" i="1"/>
  <c r="Y152" i="1"/>
  <c r="W152" i="1"/>
  <c r="V152" i="1"/>
  <c r="Y151" i="1"/>
  <c r="W151" i="1"/>
  <c r="V151" i="1"/>
  <c r="Y150" i="1"/>
  <c r="W150" i="1"/>
  <c r="V150" i="1"/>
  <c r="V149" i="1"/>
  <c r="V148" i="1"/>
  <c r="V147" i="1"/>
  <c r="V146" i="1"/>
  <c r="V145" i="1"/>
  <c r="V144" i="1"/>
  <c r="V143" i="1"/>
  <c r="V142" i="1"/>
  <c r="V141" i="1"/>
  <c r="Y140" i="1"/>
  <c r="X140" i="1"/>
  <c r="W140" i="1"/>
  <c r="V140" i="1"/>
  <c r="W139" i="1"/>
  <c r="V139" i="1"/>
  <c r="W138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X124" i="1"/>
  <c r="V124" i="1"/>
  <c r="X123" i="1"/>
  <c r="W123" i="1"/>
  <c r="V123" i="1"/>
  <c r="V122" i="1"/>
  <c r="V121" i="1"/>
  <c r="V120" i="1"/>
  <c r="V119" i="1"/>
  <c r="X118" i="1"/>
  <c r="W118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X89" i="1"/>
  <c r="V89" i="1"/>
  <c r="X88" i="1"/>
  <c r="V88" i="1"/>
  <c r="X87" i="1"/>
  <c r="V87" i="1"/>
  <c r="X86" i="1"/>
  <c r="V86" i="1"/>
  <c r="X85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X72" i="1"/>
  <c r="W72" i="1"/>
  <c r="V72" i="1"/>
  <c r="V71" i="1"/>
  <c r="V70" i="1"/>
  <c r="V69" i="1"/>
  <c r="V68" i="1"/>
  <c r="V67" i="1"/>
  <c r="X66" i="1"/>
  <c r="V66" i="1"/>
  <c r="V65" i="1"/>
  <c r="V64" i="1"/>
  <c r="X63" i="1"/>
  <c r="V63" i="1"/>
  <c r="V62" i="1"/>
  <c r="V61" i="1"/>
  <c r="V60" i="1"/>
  <c r="V59" i="1"/>
  <c r="V58" i="1"/>
  <c r="V57" i="1"/>
  <c r="V56" i="1"/>
  <c r="X55" i="1"/>
  <c r="V55" i="1"/>
  <c r="V54" i="1"/>
  <c r="V53" i="1"/>
  <c r="X52" i="1"/>
  <c r="W52" i="1"/>
  <c r="V52" i="1"/>
  <c r="V51" i="1"/>
  <c r="V50" i="1"/>
  <c r="V49" i="1"/>
  <c r="V48" i="1"/>
  <c r="V47" i="1"/>
  <c r="V46" i="1"/>
  <c r="X45" i="1"/>
  <c r="V45" i="1"/>
  <c r="V44" i="1"/>
  <c r="V43" i="1"/>
  <c r="V42" i="1"/>
  <c r="V41" i="1"/>
  <c r="V40" i="1"/>
  <c r="X39" i="1"/>
  <c r="W39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</calcChain>
</file>

<file path=xl/sharedStrings.xml><?xml version="1.0" encoding="utf-8"?>
<sst xmlns="http://schemas.openxmlformats.org/spreadsheetml/2006/main" count="3970" uniqueCount="526">
  <si>
    <t/>
  </si>
  <si>
    <t>Summary of Changes</t>
  </si>
  <si>
    <t>Additional ordering and billing information</t>
  </si>
  <si>
    <t>Information when ordering laboratory tests that are billed to Medicare/Medicaid</t>
  </si>
  <si>
    <t>Information regarding Current Procedural Terminology (CPT)</t>
  </si>
  <si>
    <t>Test Number</t>
  </si>
  <si>
    <t>Mnemonic</t>
  </si>
  <si>
    <t>Test Name</t>
  </si>
  <si>
    <t>New Test</t>
  </si>
  <si>
    <t>Test Name Change</t>
  </si>
  <si>
    <t>Specimen Requirements</t>
  </si>
  <si>
    <t>Methodology</t>
  </si>
  <si>
    <t>Note</t>
  </si>
  <si>
    <t>Interpretive Data</t>
  </si>
  <si>
    <t>Reference Interval</t>
  </si>
  <si>
    <t>Component Charting Name</t>
  </si>
  <si>
    <t>Component Change</t>
  </si>
  <si>
    <t>Reflex Pattern</t>
  </si>
  <si>
    <t>Result Type</t>
  </si>
  <si>
    <t>Ask at Order Prompt</t>
  </si>
  <si>
    <t>Numeric Map</t>
  </si>
  <si>
    <t>Unit of Measure</t>
  </si>
  <si>
    <t>CPT Code</t>
  </si>
  <si>
    <t>Pricing Change</t>
  </si>
  <si>
    <t>Inactivation w/ Replacement</t>
  </si>
  <si>
    <t>Inactivation w/o Replacement</t>
  </si>
  <si>
    <t>Test Change Document</t>
  </si>
  <si>
    <t>Test Mix</t>
  </si>
  <si>
    <t>Example Report</t>
  </si>
  <si>
    <t>Pricing Link</t>
  </si>
  <si>
    <t>Effective Date</t>
  </si>
  <si>
    <t>0020089</t>
  </si>
  <si>
    <t>HBSAG</t>
  </si>
  <si>
    <t>Hepatitis B Virus Surface Antigen with Reflex to Confirmation</t>
  </si>
  <si>
    <t>x</t>
  </si>
  <si>
    <t>0020090</t>
  </si>
  <si>
    <t>HBSAB</t>
  </si>
  <si>
    <t>Hepatitis B Virus Surface Antibody</t>
  </si>
  <si>
    <t>0020091</t>
  </si>
  <si>
    <t>HBCAB</t>
  </si>
  <si>
    <t>Hepatitis B Virus Core Antibodies (Total)</t>
  </si>
  <si>
    <t>0020092</t>
  </si>
  <si>
    <t>HBCABM</t>
  </si>
  <si>
    <t>Hepatitis B Virus Core Antibody, IgM</t>
  </si>
  <si>
    <t>0020093</t>
  </si>
  <si>
    <t>HAVABM</t>
  </si>
  <si>
    <t>Hepatitis A Virus Antibody, IgM</t>
  </si>
  <si>
    <t>0020094</t>
  </si>
  <si>
    <t>HBEAG</t>
  </si>
  <si>
    <t>Hepatitis Be Virus Antigen</t>
  </si>
  <si>
    <t>0020095</t>
  </si>
  <si>
    <t>HBEAB</t>
  </si>
  <si>
    <t>Hepatitis Be Virus Antibody</t>
  </si>
  <si>
    <t>0020128</t>
  </si>
  <si>
    <t>HBSAG CONF</t>
  </si>
  <si>
    <t>Hepatitis B Virus Surface Antigen, Confirmation</t>
  </si>
  <si>
    <t>0020454</t>
  </si>
  <si>
    <t>HEPCHRONIC</t>
  </si>
  <si>
    <t>Hepatitis B Virus Panel, Chronic with Reflex to HBsAg Confirmation</t>
  </si>
  <si>
    <t>0020591</t>
  </si>
  <si>
    <t>HAVAB</t>
  </si>
  <si>
    <t>Hepatitis A Virus Antibodies (Total)</t>
  </si>
  <si>
    <t>0020597</t>
  </si>
  <si>
    <t>HEP A PAN</t>
  </si>
  <si>
    <t>Hepatitis A Virus Panel</t>
  </si>
  <si>
    <t>0020642</t>
  </si>
  <si>
    <t>HTLV WBLOT</t>
  </si>
  <si>
    <t>Human T-Lymphotropic Virus Types I/II Antibodies, Western Blot</t>
  </si>
  <si>
    <t>0040131</t>
  </si>
  <si>
    <t>RNA EXT</t>
  </si>
  <si>
    <t>RNA Extraction and Storage</t>
  </si>
  <si>
    <t>0049020</t>
  </si>
  <si>
    <t>HGB UNSTAB</t>
  </si>
  <si>
    <t>Hemoglobin, Unstable</t>
  </si>
  <si>
    <t>0049090</t>
  </si>
  <si>
    <t>HEINZ</t>
  </si>
  <si>
    <t>Heinz Body Stain</t>
  </si>
  <si>
    <t>0050148</t>
  </si>
  <si>
    <t>C2</t>
  </si>
  <si>
    <t>Complement Component 2</t>
  </si>
  <si>
    <t>0050156</t>
  </si>
  <si>
    <t>C5</t>
  </si>
  <si>
    <t>Complement C5, Concentration</t>
  </si>
  <si>
    <t>0051164</t>
  </si>
  <si>
    <t>HTLV PAN</t>
  </si>
  <si>
    <t>Human T-Lymphotropic Virus  (HTLV) Types I/II Antibodies by ELISA with Reflex to HTLV-I/II Confirmation by Western Blot</t>
  </si>
  <si>
    <t>0051394</t>
  </si>
  <si>
    <t>CYT 12 SE</t>
  </si>
  <si>
    <t>Cytokine Panel 13, Serum</t>
  </si>
  <si>
    <t>0051532</t>
  </si>
  <si>
    <t>IL4 DO</t>
  </si>
  <si>
    <t>Interleukin 4, Serum</t>
  </si>
  <si>
    <t>0051533</t>
  </si>
  <si>
    <t>IL5 DO</t>
  </si>
  <si>
    <t>Interleukin 5, Serum</t>
  </si>
  <si>
    <t>0051537</t>
  </si>
  <si>
    <t>IL6 DO</t>
  </si>
  <si>
    <t>Interleukin  6, Serum</t>
  </si>
  <si>
    <t>0051538</t>
  </si>
  <si>
    <t>IL8 DO</t>
  </si>
  <si>
    <t>Interleukin  8, Serum</t>
  </si>
  <si>
    <t>0051588</t>
  </si>
  <si>
    <t>IL2 DO</t>
  </si>
  <si>
    <t>Interleukin 2, Serum</t>
  </si>
  <si>
    <t>0055174</t>
  </si>
  <si>
    <t>FOODPRO 10</t>
  </si>
  <si>
    <t>Allergens, Food, Profile 10</t>
  </si>
  <si>
    <t>0055273</t>
  </si>
  <si>
    <t>FTA CSF G</t>
  </si>
  <si>
    <t>Treponema pallidum Antibody, IgG by IFA (CSF)</t>
  </si>
  <si>
    <t>0055567</t>
  </si>
  <si>
    <t>T CELL-F</t>
  </si>
  <si>
    <t>T-Cell Clonality  Screening by PCR</t>
  </si>
  <si>
    <t>0060149</t>
  </si>
  <si>
    <t>MC FUNG</t>
  </si>
  <si>
    <t>Fungal Culture</t>
  </si>
  <si>
    <t>0060738</t>
  </si>
  <si>
    <t>MC AFBR</t>
  </si>
  <si>
    <t>Acid-Fast Bacillus (AFB) Culture and AFB Stain with Reflex to Mycobacterium tuberculosis Complex Detection and Rifampin Resistance by PCR</t>
  </si>
  <si>
    <t>0097688</t>
  </si>
  <si>
    <t>BREAKAGE</t>
  </si>
  <si>
    <t>Chromosome Analysis  - Breakage, Fanconi Anemia, Whole Blood</t>
  </si>
  <si>
    <t>0099460</t>
  </si>
  <si>
    <t>CALCULI</t>
  </si>
  <si>
    <t>Calculi Analysis</t>
  </si>
  <si>
    <t>2000623</t>
  </si>
  <si>
    <t>NG REQUEST</t>
  </si>
  <si>
    <t>Cytology, Non-Gynecologic</t>
  </si>
  <si>
    <t>2002124</t>
  </si>
  <si>
    <t>COMMONFOOD</t>
  </si>
  <si>
    <t>Allergens, Foods, Common 10</t>
  </si>
  <si>
    <t>2002926</t>
  </si>
  <si>
    <t>BLAST DERM</t>
  </si>
  <si>
    <t>Blastomyces dermatitidis Antigen Quantitative by EIA</t>
  </si>
  <si>
    <t>2003126</t>
  </si>
  <si>
    <t>ANTI IGA</t>
  </si>
  <si>
    <t>Anti-IgA Antibody by ELISA (Test on Delay as of 03/18/2025)</t>
  </si>
  <si>
    <t>2004011</t>
  </si>
  <si>
    <t>MUSA IHC</t>
  </si>
  <si>
    <t>Muscle-Specific Actin (MSA) by Immunohistochemistry</t>
  </si>
  <si>
    <t>2005231</t>
  </si>
  <si>
    <t>CALCPHOTO</t>
  </si>
  <si>
    <t>Calculi Analysis With Photo</t>
  </si>
  <si>
    <t>2005545</t>
  </si>
  <si>
    <t>MPL</t>
  </si>
  <si>
    <t>MPL Mutation Detection by Capillary Electrophoresis</t>
  </si>
  <si>
    <t>2005593</t>
  </si>
  <si>
    <t>NATAL ABS</t>
  </si>
  <si>
    <t>Natalizumab Antibodies</t>
  </si>
  <si>
    <t>2006193</t>
  </si>
  <si>
    <t>BCELL SCRN</t>
  </si>
  <si>
    <t>B-Cell Clonality Screening (IgH and IgK) by PCR</t>
  </si>
  <si>
    <t>2006328</t>
  </si>
  <si>
    <t>GLUT TOT</t>
  </si>
  <si>
    <t>Glutathione Total</t>
  </si>
  <si>
    <t>2006978</t>
  </si>
  <si>
    <t>FOODPRO 14</t>
  </si>
  <si>
    <t>Allergens, Food, Profile 26 IgE</t>
  </si>
  <si>
    <t>2007132</t>
  </si>
  <si>
    <t>BRAF HCL</t>
  </si>
  <si>
    <t>BRAF V600E Mutation Detection in Hairy Cell Leukemia by Real-Time PCR, Quantitative</t>
  </si>
  <si>
    <t>2007479</t>
  </si>
  <si>
    <t>PAIN HYB U</t>
  </si>
  <si>
    <t>Drug Profile, Targeted by Tandem Mass Spectrometry and Enzyme Immunoassay, Urine</t>
  </si>
  <si>
    <t>2007573</t>
  </si>
  <si>
    <t>HBSAG PN</t>
  </si>
  <si>
    <t>Hepatitis B Virus Surface Antigen with Reflex to Confirmation, Prenatal</t>
  </si>
  <si>
    <t>2007575</t>
  </si>
  <si>
    <t>HBSAGCONPN</t>
  </si>
  <si>
    <t>Hepatitis B Virus Surface Antigen Confirmation, Prenatal</t>
  </si>
  <si>
    <t>2007715</t>
  </si>
  <si>
    <t>K LITTLEAG</t>
  </si>
  <si>
    <t>Cellano Antigen Typing - Patient</t>
  </si>
  <si>
    <t>2007717</t>
  </si>
  <si>
    <t>FYA AG</t>
  </si>
  <si>
    <t>FYA Antigen Typing - Patient</t>
  </si>
  <si>
    <t>2007719</t>
  </si>
  <si>
    <t>M AG</t>
  </si>
  <si>
    <t>M Antigen Typing - Patient</t>
  </si>
  <si>
    <t>2007721</t>
  </si>
  <si>
    <t>S LITTLEAG</t>
  </si>
  <si>
    <t>Little s Antigen Typing - Patient</t>
  </si>
  <si>
    <t>2007723</t>
  </si>
  <si>
    <t>LEB AG</t>
  </si>
  <si>
    <t>LEB Antigen Typing - Patient</t>
  </si>
  <si>
    <t>2007725</t>
  </si>
  <si>
    <t>FYB AG</t>
  </si>
  <si>
    <t>FYB Antigen Typing - Patient</t>
  </si>
  <si>
    <t>2007727</t>
  </si>
  <si>
    <t>JKA AG</t>
  </si>
  <si>
    <t>JKA Antigen Typing - Patient</t>
  </si>
  <si>
    <t>2007729</t>
  </si>
  <si>
    <t>JKB AG</t>
  </si>
  <si>
    <t>JKB Antigen Typing - Patient</t>
  </si>
  <si>
    <t>2007731</t>
  </si>
  <si>
    <t>K AG</t>
  </si>
  <si>
    <t>Kell Antigen Typing - Patient</t>
  </si>
  <si>
    <t>2007733</t>
  </si>
  <si>
    <t>LEA AG</t>
  </si>
  <si>
    <t>LEA Antigen Typing - Patient</t>
  </si>
  <si>
    <t>2007735</t>
  </si>
  <si>
    <t>N AG</t>
  </si>
  <si>
    <t>N Antigen Typing - Patient</t>
  </si>
  <si>
    <t>2007737</t>
  </si>
  <si>
    <t>P1 AG</t>
  </si>
  <si>
    <t>P1 Antigen Typing - Patient</t>
  </si>
  <si>
    <t>2007739</t>
  </si>
  <si>
    <t>S AG</t>
  </si>
  <si>
    <t>S Antigen Typing - Patient</t>
  </si>
  <si>
    <t>2007933</t>
  </si>
  <si>
    <t>C AG</t>
  </si>
  <si>
    <t>C Antigen Typing - Patient</t>
  </si>
  <si>
    <t>2007939</t>
  </si>
  <si>
    <t>C LITTLEAG</t>
  </si>
  <si>
    <t>Little c Antigen Typing - Patient</t>
  </si>
  <si>
    <t>2007941</t>
  </si>
  <si>
    <t>E AG</t>
  </si>
  <si>
    <t>E Antigen Typing - Patient</t>
  </si>
  <si>
    <t>2007943</t>
  </si>
  <si>
    <t>E LITTLEAG</t>
  </si>
  <si>
    <t>Little e Antigen Typing - Patient</t>
  </si>
  <si>
    <t>2009288</t>
  </si>
  <si>
    <t>PAIN HYB 2</t>
  </si>
  <si>
    <t>Drug Profile, Targeted with Interpretation by Tandem Mass Spectrometry and Enzyme Immunoassay, Urine</t>
  </si>
  <si>
    <t>2009318</t>
  </si>
  <si>
    <t>MYD88</t>
  </si>
  <si>
    <t>MYD88 L265P Mutation Detection by PCR, Quantitative</t>
  </si>
  <si>
    <t>2010138</t>
  </si>
  <si>
    <t>AML1-ETO Q</t>
  </si>
  <si>
    <t>RUNX1::RUNX1T1 (AML1::ETO) t(8;21) Detection, Quantitative</t>
  </si>
  <si>
    <t>2010151</t>
  </si>
  <si>
    <t>HEV IGG</t>
  </si>
  <si>
    <t>Hepatitis E Virus (HEV) Antibody, IgG</t>
  </si>
  <si>
    <t>2010156</t>
  </si>
  <si>
    <t>HEV IGM</t>
  </si>
  <si>
    <t>Hepatitis E Virus (HEV) Antibody, IgM</t>
  </si>
  <si>
    <t>2010673</t>
  </si>
  <si>
    <t>CALR</t>
  </si>
  <si>
    <t>CALR (Calreticulin) Exon 9 Mutation Analysis by PCR</t>
  </si>
  <si>
    <t>2010775</t>
  </si>
  <si>
    <t>MTBRIF PCR</t>
  </si>
  <si>
    <t>Mycobacterium tuberculosis Complex Detection and Rifampin Resistance by PCR</t>
  </si>
  <si>
    <t>2010784</t>
  </si>
  <si>
    <t>HCV AB QR</t>
  </si>
  <si>
    <t>Hepatitis C Virus Antibody by CIA with Reflex to HCV by Quantitative NAAT</t>
  </si>
  <si>
    <t>2011075</t>
  </si>
  <si>
    <t>COCCI AG</t>
  </si>
  <si>
    <t>Coccidioides Antigen Quantitative by EIA</t>
  </si>
  <si>
    <t>2011114</t>
  </si>
  <si>
    <t>INV 16 QNT</t>
  </si>
  <si>
    <t>CBFB::MYH11 inv(16) Detection, Quantitative</t>
  </si>
  <si>
    <t>2012023</t>
  </si>
  <si>
    <t>HEV PAN</t>
  </si>
  <si>
    <t>Hepatitis E Virus (HEV) Antibodies, IgG and IgM</t>
  </si>
  <si>
    <t>2012141</t>
  </si>
  <si>
    <t>HBE PAN</t>
  </si>
  <si>
    <t>Hepatitis Be Virus Antigen and Antibody Panel</t>
  </si>
  <si>
    <t>2013333</t>
  </si>
  <si>
    <t>HIVAGABGE</t>
  </si>
  <si>
    <t>Human Immunodeficiency Virus (HIV) Combo Antigen/Antibody (HIV-1/O/2) by CIA with Reflex to HIV-1/HIV-2 Antibody Differentiation, Supplemental</t>
  </si>
  <si>
    <t>2013502</t>
  </si>
  <si>
    <t>A1 AG</t>
  </si>
  <si>
    <t>A1 Antigen Typing, Patient</t>
  </si>
  <si>
    <t>2013504</t>
  </si>
  <si>
    <t>CW AG</t>
  </si>
  <si>
    <t>Cw Antigen Typing, Patient</t>
  </si>
  <si>
    <t>2013506</t>
  </si>
  <si>
    <t>SDA AG</t>
  </si>
  <si>
    <t>Sd(a) Antigen Typing, Patient</t>
  </si>
  <si>
    <t>2013508</t>
  </si>
  <si>
    <t>WRA AG</t>
  </si>
  <si>
    <t>Wr(a) Antigen Typing, Patient</t>
  </si>
  <si>
    <t>2013690</t>
  </si>
  <si>
    <t>P-KPA_IRL</t>
  </si>
  <si>
    <t>Kp(a) Pt Antigen Typing IRL</t>
  </si>
  <si>
    <t>2014285</t>
  </si>
  <si>
    <t>HBV PAN PN</t>
  </si>
  <si>
    <t>Hepatitis B Virus (HBV) Perinatal Exposure Follow-up by CIA, Panel</t>
  </si>
  <si>
    <t>3000066</t>
  </si>
  <si>
    <t>NPM1 QNT</t>
  </si>
  <si>
    <t>NPM1 Mutation Detection by RT-PCR, Quantitative</t>
  </si>
  <si>
    <t>3001161</t>
  </si>
  <si>
    <t>FLT3-PCR</t>
  </si>
  <si>
    <t>FLT3 ITD and TKD Mutation Detection</t>
  </si>
  <si>
    <t>3002601</t>
  </si>
  <si>
    <t>CYT13 PLA</t>
  </si>
  <si>
    <t>Cytokine Panel 13, Plasma</t>
  </si>
  <si>
    <t>3002616</t>
  </si>
  <si>
    <t>CYT MON P</t>
  </si>
  <si>
    <t>Cytokine Panel, Monokines, Plasma</t>
  </si>
  <si>
    <t>3002617</t>
  </si>
  <si>
    <t>CYT TH1 P</t>
  </si>
  <si>
    <t>Cytokine Panel, TH1, Plasma</t>
  </si>
  <si>
    <t>3002618</t>
  </si>
  <si>
    <t>TNFA PLA</t>
  </si>
  <si>
    <t>Tumor Necrosis Factor - alpha, Plasma</t>
  </si>
  <si>
    <t>3002619</t>
  </si>
  <si>
    <t>IL8 PLA</t>
  </si>
  <si>
    <t>Interleukin 8, Plasma</t>
  </si>
  <si>
    <t>3002620</t>
  </si>
  <si>
    <t>IL6 PLA</t>
  </si>
  <si>
    <t>Interleukin 6, Plasma</t>
  </si>
  <si>
    <t>3002621</t>
  </si>
  <si>
    <t>IL5 PLA</t>
  </si>
  <si>
    <t>Interleukin 5, Plasma</t>
  </si>
  <si>
    <t>3002622</t>
  </si>
  <si>
    <t>IL4 PLA</t>
  </si>
  <si>
    <t>Interleukin 4, Plasma</t>
  </si>
  <si>
    <t>3002623</t>
  </si>
  <si>
    <t>IL10 PLA</t>
  </si>
  <si>
    <t>Interleukin 10, Plasma</t>
  </si>
  <si>
    <t>3002624</t>
  </si>
  <si>
    <t>IL12 PLA</t>
  </si>
  <si>
    <t>Interleukin 12, Plasma</t>
  </si>
  <si>
    <t>3002625</t>
  </si>
  <si>
    <t>IL13 PLA</t>
  </si>
  <si>
    <t>Interleukin 13, Plasma</t>
  </si>
  <si>
    <t>3002626</t>
  </si>
  <si>
    <t>IL17 PLA</t>
  </si>
  <si>
    <t>Interleukin 17, Plasma</t>
  </si>
  <si>
    <t>3002627</t>
  </si>
  <si>
    <t>CYT TH2 P</t>
  </si>
  <si>
    <t>Cytokine Panel, TH2, Plasma</t>
  </si>
  <si>
    <t>3002628</t>
  </si>
  <si>
    <t>IFNG PLA</t>
  </si>
  <si>
    <t>Interferon gamma, Plasma</t>
  </si>
  <si>
    <t>3002629</t>
  </si>
  <si>
    <t>IL1B PLA</t>
  </si>
  <si>
    <t>Interleukin 1 beta, Plasma</t>
  </si>
  <si>
    <t>3002630</t>
  </si>
  <si>
    <t>IL2 PLA</t>
  </si>
  <si>
    <t>Interleukin 2, Plasma</t>
  </si>
  <si>
    <t>3002631</t>
  </si>
  <si>
    <t>IL2R PLA</t>
  </si>
  <si>
    <t>Interleukin 2 Receptor, Soluble, Plasma</t>
  </si>
  <si>
    <t>3002956</t>
  </si>
  <si>
    <t>KITD816V Q</t>
  </si>
  <si>
    <t>KIT (D816V) Mutation by ddPCR, Quantitative</t>
  </si>
  <si>
    <t>3002989</t>
  </si>
  <si>
    <t>HEPACUTEQR</t>
  </si>
  <si>
    <t>Hepatitis Panel, Acute with Reflex to HBsAg Confirmation and Reflex to HCV by Quantitative NAAT</t>
  </si>
  <si>
    <t>3003144</t>
  </si>
  <si>
    <t>DELDUP</t>
  </si>
  <si>
    <t>Deletion/Duplication Analysis by MLPA</t>
  </si>
  <si>
    <t>3003259</t>
  </si>
  <si>
    <t>CYT13 CSF</t>
  </si>
  <si>
    <t>Cytokine Panel 13, CSF</t>
  </si>
  <si>
    <t>3003260</t>
  </si>
  <si>
    <t>IL6 CSF</t>
  </si>
  <si>
    <t>Interleukin 6, CSF</t>
  </si>
  <si>
    <t>3003261</t>
  </si>
  <si>
    <t>IL2R CSF</t>
  </si>
  <si>
    <t>Interleukin 2 Receptor, Soluble, CSF</t>
  </si>
  <si>
    <t>3003751</t>
  </si>
  <si>
    <t>JAK2V617FQ</t>
  </si>
  <si>
    <t>JAK2 (V617F) Mutation by ddPCR, Quantitative</t>
  </si>
  <si>
    <t>3004046</t>
  </si>
  <si>
    <t>JAK2 QUAL</t>
  </si>
  <si>
    <t>JAK2 (V617F) Mutation by ddPCR, Qualitative</t>
  </si>
  <si>
    <t>3004232</t>
  </si>
  <si>
    <t>F8-COMP</t>
  </si>
  <si>
    <t>Hemophilia A (F8) 2 Inversions with Reflex to Sequencing and Reflex to Deletion/Duplication</t>
  </si>
  <si>
    <t>3004716</t>
  </si>
  <si>
    <t>GALT NGS</t>
  </si>
  <si>
    <t>Galactosemia (GALT) Sequencing and Deletion/Duplication</t>
  </si>
  <si>
    <t>3005636</t>
  </si>
  <si>
    <t>HYPO PAN</t>
  </si>
  <si>
    <t>Hypoglycemia Panel (Sulfonylureas), Serum or Plasma</t>
  </si>
  <si>
    <t>3005839</t>
  </si>
  <si>
    <t>DX BCR RFX</t>
  </si>
  <si>
    <t>Diagnostic Qualitative BCR::ABL1 Assay with Reflex to p190 or p210 Quantitative Assays</t>
  </si>
  <si>
    <t>3005840</t>
  </si>
  <si>
    <t>QNT BCRMAJ</t>
  </si>
  <si>
    <t>Quantitative Detection of BCR::ABL1, Major Form (p210)</t>
  </si>
  <si>
    <t>3005949</t>
  </si>
  <si>
    <t>ALD/DR</t>
  </si>
  <si>
    <t>Aldosterone and Renin Direct, With Ratio</t>
  </si>
  <si>
    <t>3005961</t>
  </si>
  <si>
    <t>C5 INH PAN</t>
  </si>
  <si>
    <t>C5 Inhibitors Drug Monitoring Panel</t>
  </si>
  <si>
    <t>3006201</t>
  </si>
  <si>
    <t>AIENCDEMS</t>
  </si>
  <si>
    <t>Autoimmune Encephalopathy/Dementia Panel, Serum</t>
  </si>
  <si>
    <t>3006203</t>
  </si>
  <si>
    <t>AIDYS</t>
  </si>
  <si>
    <t>Autoimmune Dysautonomia and Gastrointestinal Dysmotility Panel, Serum</t>
  </si>
  <si>
    <t>3006204</t>
  </si>
  <si>
    <t>AIEPS</t>
  </si>
  <si>
    <t>Autoimmune Epilepsy Panel, Serum</t>
  </si>
  <si>
    <t>3006208</t>
  </si>
  <si>
    <t>AIMYS</t>
  </si>
  <si>
    <t>Autoimmune Myelopathy Panel, Serum</t>
  </si>
  <si>
    <t>3006210</t>
  </si>
  <si>
    <t>AIPEDS</t>
  </si>
  <si>
    <t>Autoimmune Pediatric CNS Disorders, Serum</t>
  </si>
  <si>
    <t>3006234</t>
  </si>
  <si>
    <t>AISPSS</t>
  </si>
  <si>
    <t>Autoimmune Stiff-Person Disorders, Serum</t>
  </si>
  <si>
    <t>3006254</t>
  </si>
  <si>
    <t>JCV AB</t>
  </si>
  <si>
    <t>JC Virus Antibody by ELISA, Serum with Reflex to Inhibition Assay</t>
  </si>
  <si>
    <t>3016631</t>
  </si>
  <si>
    <t>HBV EXP</t>
  </si>
  <si>
    <t>HBV Exposure Panel</t>
  </si>
  <si>
    <t>3016813</t>
  </si>
  <si>
    <t xml:space="preserve">PEPSIN </t>
  </si>
  <si>
    <t>Gastric Pepsin A, Respiratory</t>
  </si>
  <si>
    <t>3016839</t>
  </si>
  <si>
    <t>ETPMFRFX</t>
  </si>
  <si>
    <t>JAK2 (V617F) Mutation by ddPCR, Qualitative With Reflex to CALR (Calreticulin) Exon 9 Mutation Analysis by PCR and MPL Mutation Detection</t>
  </si>
  <si>
    <t>3016840</t>
  </si>
  <si>
    <t>PV REFLEX</t>
  </si>
  <si>
    <t>JAK2 (V617F) Mutation by ddPCR, Qualitative With Reflex to JAK2 Exon 12-Mutation Analysis by PCR</t>
  </si>
  <si>
    <t>3016968</t>
  </si>
  <si>
    <t>QNT BCRMIN</t>
  </si>
  <si>
    <t>Quantitative Detection of BCR::ABL1, Minor Form (p190)</t>
  </si>
  <si>
    <t>3017399</t>
  </si>
  <si>
    <t>TPSAB1</t>
  </si>
  <si>
    <t>TPSAB1 Copy Number Analysis by ddPCR</t>
  </si>
  <si>
    <t>3017610</t>
  </si>
  <si>
    <t>IRL AB PKG</t>
  </si>
  <si>
    <t>RBC Antibody ID Package (IRL)</t>
  </si>
  <si>
    <t>3017611</t>
  </si>
  <si>
    <t>IRL ABID</t>
  </si>
  <si>
    <t>RBC Antibody ID Prenatal - Reflex to Titer</t>
  </si>
  <si>
    <t>3018640</t>
  </si>
  <si>
    <t>HZLNUT COM</t>
  </si>
  <si>
    <t xml:space="preserve">Allergen, Food, Hazelnut Components IgE </t>
  </si>
  <si>
    <t>3018776</t>
  </si>
  <si>
    <t>HBSAGRDABQ</t>
  </si>
  <si>
    <t>Hepatitis B Virus Surface Antigen With Reflex to Confirmation and Reflex to Hepatitis Delta Virus Antibody by ELISA With Reflex to Hepatitis Delta Virus by Quantitative PCR</t>
  </si>
  <si>
    <t>3018922</t>
  </si>
  <si>
    <t>PMLQNT</t>
  </si>
  <si>
    <t>PML::RARA Detection by RT-PCR, Quantitative</t>
  </si>
  <si>
    <t>3018943</t>
  </si>
  <si>
    <t>HBV TRI PN</t>
  </si>
  <si>
    <t>HBV Prenatal Triple Panel</t>
  </si>
  <si>
    <t>3018964</t>
  </si>
  <si>
    <t>AIMDS2</t>
  </si>
  <si>
    <t>Autoimmune Movement Disorder Panel, Serum</t>
  </si>
  <si>
    <t>3018965</t>
  </si>
  <si>
    <t>NEURO R5</t>
  </si>
  <si>
    <t>Autoimmune Neurologic Disease Panel With Reflex, Serum</t>
  </si>
  <si>
    <t>3019004</t>
  </si>
  <si>
    <t>AMMON PLA</t>
  </si>
  <si>
    <t>Ammonia Level, Plasma</t>
  </si>
  <si>
    <t>3019856</t>
  </si>
  <si>
    <t>VPRENATHEP</t>
  </si>
  <si>
    <t>Viral Hepatitis Prenatal Panel</t>
  </si>
  <si>
    <t>3019876</t>
  </si>
  <si>
    <t>BG DELDUP</t>
  </si>
  <si>
    <t>Beta Globin (HBB) Deletion/Duplication by MLPA</t>
  </si>
  <si>
    <t>3020079</t>
  </si>
  <si>
    <t>JAK2EX12</t>
  </si>
  <si>
    <t>JAK2 Exon 12-Mutation Analysis by PCR</t>
  </si>
  <si>
    <t>3020269</t>
  </si>
  <si>
    <t>INV16 QNT</t>
  </si>
  <si>
    <t>3020274</t>
  </si>
  <si>
    <t>RUNX1 QNT</t>
  </si>
  <si>
    <t>3020324</t>
  </si>
  <si>
    <t>RNAEXT</t>
  </si>
  <si>
    <t>3020700</t>
  </si>
  <si>
    <t>SF1GYN IHC</t>
  </si>
  <si>
    <t>SF-1 GYN by Immunohistochemistry</t>
  </si>
  <si>
    <t>3020830</t>
  </si>
  <si>
    <t>TFPPCR</t>
  </si>
  <si>
    <t>Tropical Fever Panel by PCR</t>
  </si>
  <si>
    <t>3021115</t>
  </si>
  <si>
    <t>IGAIHC</t>
  </si>
  <si>
    <t>Immunoglobulin A (IgA) by Immunohistochemistry</t>
  </si>
  <si>
    <t>3021139</t>
  </si>
  <si>
    <t>BCELLTISS</t>
  </si>
  <si>
    <t>B-Cell Clonality Screening (IgH and IgK), Tissue, by PCR</t>
  </si>
  <si>
    <t>3021140</t>
  </si>
  <si>
    <t>TCELLTISS</t>
  </si>
  <si>
    <t>T-Cell Clonality Screening, Tissue, by PCR</t>
  </si>
  <si>
    <t>3021166</t>
  </si>
  <si>
    <t>BRG-1 IHC</t>
  </si>
  <si>
    <t>Brahma-Related Gene-1 (BRG-1) by Immunohistochemistry</t>
  </si>
  <si>
    <t>3021184</t>
  </si>
  <si>
    <t>IGMIHC</t>
  </si>
  <si>
    <t>Immunoglobulin M (IgM) by Immunohistochemistry</t>
  </si>
  <si>
    <t>3021200</t>
  </si>
  <si>
    <t>MYCOMEIA</t>
  </si>
  <si>
    <t>Aspergillus Galactofuranose Antigen by EIA, Urine</t>
  </si>
  <si>
    <t>3021214</t>
  </si>
  <si>
    <t>C_C_LITTLE</t>
  </si>
  <si>
    <t>C and c Antigen Typing-Patient</t>
  </si>
  <si>
    <t>3021215</t>
  </si>
  <si>
    <t>E_ELITTLE</t>
  </si>
  <si>
    <t>E and e Antigen Typing-Patient</t>
  </si>
  <si>
    <t>3021216</t>
  </si>
  <si>
    <t>FYA_FYB AG</t>
  </si>
  <si>
    <t>Fy(a) and Fy(b) Antigen Typing-Patient</t>
  </si>
  <si>
    <t>3021217</t>
  </si>
  <si>
    <t>JKA_JKB_AG</t>
  </si>
  <si>
    <t>Jk(a) and Jk(b) Antigen Typing - Patient</t>
  </si>
  <si>
    <t>3021218</t>
  </si>
  <si>
    <t>S_SLITTLE</t>
  </si>
  <si>
    <t>S and Little s Antigen Typing-Patient</t>
  </si>
  <si>
    <t>3021219</t>
  </si>
  <si>
    <t>M_N AG</t>
  </si>
  <si>
    <t>M and N Antigen Typing - Patient</t>
  </si>
  <si>
    <t>3021220</t>
  </si>
  <si>
    <t>LEA_LEB AG</t>
  </si>
  <si>
    <t>Le(a) and Le(b) Antigen Typing-Patient</t>
  </si>
  <si>
    <t>3021221</t>
  </si>
  <si>
    <t>ABORH DISC</t>
  </si>
  <si>
    <t>ABORH Discrepancy Investigation, IRL</t>
  </si>
  <si>
    <t>3021225</t>
  </si>
  <si>
    <t>C-2</t>
  </si>
  <si>
    <t>Complement Component C2</t>
  </si>
  <si>
    <t>3021226</t>
  </si>
  <si>
    <t>C-5</t>
  </si>
  <si>
    <t>Complement Component C5</t>
  </si>
  <si>
    <t>3021230</t>
  </si>
  <si>
    <t>MYD88TISS</t>
  </si>
  <si>
    <t>MYD88 L265P Mutation Detection, Tissue, by PCR, Quantitative</t>
  </si>
  <si>
    <t>3021309</t>
  </si>
  <si>
    <t>WALNUT COM</t>
  </si>
  <si>
    <t>Allergen, Food, Walnut (Juglans spp) Components IgE</t>
  </si>
  <si>
    <t>3021341</t>
  </si>
  <si>
    <t>LMP1 IHC</t>
  </si>
  <si>
    <t>Latent Membrane Protein 1 (LMP1) by Immunohistochemistry</t>
  </si>
  <si>
    <t xml:space="preserve"> </t>
  </si>
  <si>
    <t>Effective as of October 19,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</si>
</sst>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Roboto"/>
    </font>
    <font>
      <b/>
      <sz val="12"/>
      <color rgb="FF000000"/>
      <name val="Roboto"/>
    </font>
    <font>
      <b/>
      <sz val="10"/>
      <color rgb="FF000000"/>
      <name val="Roboto"/>
    </font>
    <font>
      <u/>
      <sz val="10"/>
      <color rgb="FF1EA1A1"/>
      <name val="Roboto"/>
    </font>
    <font>
      <b/>
      <sz val="10"/>
      <color rgb="FFFF0000"/>
      <name val="Roboto"/>
    </font>
    <font>
      <u/>
      <sz val="11"/>
      <color theme="10"/>
      <name val="Calibri"/>
      <family val="2"/>
      <scheme val="minor"/>
    </font>
    <font>
      <b/>
      <sz val="12"/>
      <color rgb="FFFF0000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1" fillId="0" borderId="0" xfId="0" applyFont="1"/>
    <xf numFmtId="0" fontId="4" fillId="0" borderId="0" xfId="0" applyFont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textRotation="90" wrapText="1" readingOrder="1"/>
    </xf>
    <xf numFmtId="0" fontId="6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164" fontId="2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wrapText="1" readingOrder="1"/>
    </xf>
    <xf numFmtId="0" fontId="1" fillId="0" borderId="0" xfId="0" applyFont="1"/>
    <xf numFmtId="0" fontId="5" fillId="0" borderId="0" xfId="0" applyFont="1" applyAlignment="1">
      <alignment horizontal="left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top" readingOrder="1"/>
    </xf>
    <xf numFmtId="0" fontId="8" fillId="0" borderId="0" xfId="0" applyNumberFormat="1" applyFont="1" applyFill="1" applyAlignment="1">
      <alignment horizontal="left" vertical="top" readingOrder="1"/>
    </xf>
    <xf numFmtId="0" fontId="7" fillId="0" borderId="1" xfId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A1A1"/>
      <rgbColor rgb="00E5E5E5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1153388</xdr:colOff>
      <xdr:row>1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aruplab.com/testing/resources/codes" TargetMode="External"/><Relationship Id="rId1" Type="http://schemas.openxmlformats.org/officeDocument/2006/relationships/hyperlink" Target="https://www.aruplab.com/compliance/medi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74"/>
  <sheetViews>
    <sheetView showGridLines="0" tabSelected="1" workbookViewId="0">
      <pane ySplit="3" topLeftCell="A4" activePane="bottomLeft" state="frozen"/>
      <selection pane="bottomLeft" activeCell="U138" sqref="U138"/>
    </sheetView>
  </sheetViews>
  <sheetFormatPr defaultRowHeight="15" x14ac:dyDescent="0.25"/>
  <cols>
    <col min="1" max="1" width="10.42578125" customWidth="1"/>
    <col min="2" max="2" width="13.5703125" customWidth="1"/>
    <col min="3" max="3" width="17.42578125" customWidth="1"/>
    <col min="4" max="25" width="3" customWidth="1"/>
    <col min="26" max="26" width="15.7109375" customWidth="1"/>
    <col min="27" max="27" width="0" hidden="1" customWidth="1"/>
  </cols>
  <sheetData>
    <row r="1" spans="1:26" ht="14.45" customHeight="1" x14ac:dyDescent="0.25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6" customHeight="1" x14ac:dyDescent="0.25">
      <c r="A2" s="10"/>
      <c r="B2" s="10"/>
      <c r="C2" s="10"/>
      <c r="D2" s="13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45" customHeight="1" x14ac:dyDescent="0.2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7.25" x14ac:dyDescent="0.3">
      <c r="A4" s="15" t="s">
        <v>525</v>
      </c>
      <c r="B4" s="14"/>
      <c r="C4" s="14"/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</row>
    <row r="5" spans="1:26" ht="15.75" x14ac:dyDescent="0.3">
      <c r="A5" s="9" t="s">
        <v>2</v>
      </c>
      <c r="B5" s="10"/>
      <c r="C5" s="10"/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</row>
    <row r="6" spans="1:26" ht="15.75" x14ac:dyDescent="0.3">
      <c r="A6" s="11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0</v>
      </c>
      <c r="Z6" s="2" t="s">
        <v>0</v>
      </c>
    </row>
    <row r="7" spans="1:26" ht="15.75" x14ac:dyDescent="0.3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  <c r="Z7" s="2" t="s">
        <v>0</v>
      </c>
    </row>
    <row r="8" spans="1:26" ht="132.75" x14ac:dyDescent="0.25">
      <c r="A8" s="3" t="s">
        <v>5</v>
      </c>
      <c r="B8" s="3" t="s">
        <v>6</v>
      </c>
      <c r="C8" s="3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  <c r="R8" s="4" t="s">
        <v>22</v>
      </c>
      <c r="S8" s="4" t="s">
        <v>23</v>
      </c>
      <c r="T8" s="4" t="s">
        <v>24</v>
      </c>
      <c r="U8" s="4" t="s">
        <v>25</v>
      </c>
      <c r="V8" s="5" t="s">
        <v>26</v>
      </c>
      <c r="W8" s="5" t="s">
        <v>27</v>
      </c>
      <c r="X8" s="5" t="s">
        <v>28</v>
      </c>
      <c r="Y8" s="5" t="s">
        <v>29</v>
      </c>
      <c r="Z8" s="4" t="s">
        <v>30</v>
      </c>
    </row>
    <row r="9" spans="1:26" ht="60" x14ac:dyDescent="0.25">
      <c r="A9" s="6" t="s">
        <v>31</v>
      </c>
      <c r="B9" s="6" t="s">
        <v>32</v>
      </c>
      <c r="C9" s="6" t="s">
        <v>33</v>
      </c>
      <c r="D9" s="7" t="s">
        <v>0</v>
      </c>
      <c r="E9" s="7" t="s">
        <v>0</v>
      </c>
      <c r="F9" s="7" t="s">
        <v>34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7" t="s">
        <v>0</v>
      </c>
      <c r="N9" s="7" t="s">
        <v>0</v>
      </c>
      <c r="O9" s="7" t="s">
        <v>0</v>
      </c>
      <c r="P9" s="7" t="s">
        <v>0</v>
      </c>
      <c r="Q9" s="7" t="s">
        <v>0</v>
      </c>
      <c r="R9" s="7" t="s">
        <v>0</v>
      </c>
      <c r="S9" s="7" t="s">
        <v>0</v>
      </c>
      <c r="T9" s="7" t="s">
        <v>0</v>
      </c>
      <c r="U9" s="7" t="s">
        <v>0</v>
      </c>
      <c r="V9" s="16" t="str">
        <f>HYPERLINK("http://www.aruplab.com/Testing-Information/resources/HotLines/HotLineDocs/Oct2026QHL/0020089.pdf","H")</f>
        <v>H</v>
      </c>
      <c r="W9" s="7" t="s">
        <v>0</v>
      </c>
      <c r="X9" s="7" t="s">
        <v>0</v>
      </c>
      <c r="Y9" s="7" t="s">
        <v>0</v>
      </c>
      <c r="Z9" s="8">
        <v>46314</v>
      </c>
    </row>
    <row r="10" spans="1:26" ht="30" x14ac:dyDescent="0.25">
      <c r="A10" s="6" t="s">
        <v>35</v>
      </c>
      <c r="B10" s="6" t="s">
        <v>36</v>
      </c>
      <c r="C10" s="6" t="s">
        <v>37</v>
      </c>
      <c r="D10" s="7" t="s">
        <v>0</v>
      </c>
      <c r="E10" s="7" t="s">
        <v>0</v>
      </c>
      <c r="F10" s="7" t="s">
        <v>34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16" t="str">
        <f>HYPERLINK("http://www.aruplab.com/Testing-Information/resources/HotLines/HotLineDocs/Oct2026QHL/0020090.pdf","H")</f>
        <v>H</v>
      </c>
      <c r="W10" s="7" t="s">
        <v>0</v>
      </c>
      <c r="X10" s="7" t="s">
        <v>0</v>
      </c>
      <c r="Y10" s="7" t="s">
        <v>0</v>
      </c>
      <c r="Z10" s="8">
        <v>46314</v>
      </c>
    </row>
    <row r="11" spans="1:26" ht="45" x14ac:dyDescent="0.25">
      <c r="A11" s="6" t="s">
        <v>38</v>
      </c>
      <c r="B11" s="6" t="s">
        <v>39</v>
      </c>
      <c r="C11" s="6" t="s">
        <v>40</v>
      </c>
      <c r="D11" s="7" t="s">
        <v>0</v>
      </c>
      <c r="E11" s="7" t="s">
        <v>0</v>
      </c>
      <c r="F11" s="7" t="s">
        <v>34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16" t="str">
        <f>HYPERLINK("http://www.aruplab.com/Testing-Information/resources/HotLines/HotLineDocs/Oct2026QHL/0020091.pdf","H")</f>
        <v>H</v>
      </c>
      <c r="W11" s="7" t="s">
        <v>0</v>
      </c>
      <c r="X11" s="7" t="s">
        <v>0</v>
      </c>
      <c r="Y11" s="7" t="s">
        <v>0</v>
      </c>
      <c r="Z11" s="8">
        <v>46314</v>
      </c>
    </row>
    <row r="12" spans="1:26" ht="30" x14ac:dyDescent="0.25">
      <c r="A12" s="6" t="s">
        <v>41</v>
      </c>
      <c r="B12" s="6" t="s">
        <v>42</v>
      </c>
      <c r="C12" s="6" t="s">
        <v>43</v>
      </c>
      <c r="D12" s="7" t="s">
        <v>0</v>
      </c>
      <c r="E12" s="7" t="s">
        <v>0</v>
      </c>
      <c r="F12" s="7" t="s">
        <v>34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7" t="s">
        <v>0</v>
      </c>
      <c r="T12" s="7" t="s">
        <v>0</v>
      </c>
      <c r="U12" s="7" t="s">
        <v>0</v>
      </c>
      <c r="V12" s="16" t="str">
        <f>HYPERLINK("http://www.aruplab.com/Testing-Information/resources/HotLines/HotLineDocs/Oct2026QHL/0020092.pdf","H")</f>
        <v>H</v>
      </c>
      <c r="W12" s="7" t="s">
        <v>0</v>
      </c>
      <c r="X12" s="7" t="s">
        <v>0</v>
      </c>
      <c r="Y12" s="7" t="s">
        <v>0</v>
      </c>
      <c r="Z12" s="8">
        <v>46314</v>
      </c>
    </row>
    <row r="13" spans="1:26" ht="30" x14ac:dyDescent="0.25">
      <c r="A13" s="6" t="s">
        <v>44</v>
      </c>
      <c r="B13" s="6" t="s">
        <v>45</v>
      </c>
      <c r="C13" s="6" t="s">
        <v>46</v>
      </c>
      <c r="D13" s="7" t="s">
        <v>0</v>
      </c>
      <c r="E13" s="7" t="s">
        <v>0</v>
      </c>
      <c r="F13" s="7" t="s">
        <v>34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16" t="str">
        <f>HYPERLINK("http://www.aruplab.com/Testing-Information/resources/HotLines/HotLineDocs/Oct2026QHL/0020093.pdf","H")</f>
        <v>H</v>
      </c>
      <c r="W13" s="7" t="s">
        <v>0</v>
      </c>
      <c r="X13" s="7" t="s">
        <v>0</v>
      </c>
      <c r="Y13" s="7" t="s">
        <v>0</v>
      </c>
      <c r="Z13" s="8">
        <v>46314</v>
      </c>
    </row>
    <row r="14" spans="1:26" ht="30" x14ac:dyDescent="0.25">
      <c r="A14" s="6" t="s">
        <v>47</v>
      </c>
      <c r="B14" s="6" t="s">
        <v>48</v>
      </c>
      <c r="C14" s="6" t="s">
        <v>49</v>
      </c>
      <c r="D14" s="7" t="s">
        <v>0</v>
      </c>
      <c r="E14" s="7" t="s">
        <v>0</v>
      </c>
      <c r="F14" s="7" t="s">
        <v>34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16" t="str">
        <f>HYPERLINK("http://www.aruplab.com/Testing-Information/resources/HotLines/HotLineDocs/Oct2026QHL/0020094.pdf","H")</f>
        <v>H</v>
      </c>
      <c r="W14" s="7" t="s">
        <v>0</v>
      </c>
      <c r="X14" s="7" t="s">
        <v>0</v>
      </c>
      <c r="Y14" s="7" t="s">
        <v>0</v>
      </c>
      <c r="Z14" s="8">
        <v>46314</v>
      </c>
    </row>
    <row r="15" spans="1:26" ht="30" x14ac:dyDescent="0.25">
      <c r="A15" s="6" t="s">
        <v>50</v>
      </c>
      <c r="B15" s="6" t="s">
        <v>51</v>
      </c>
      <c r="C15" s="6" t="s">
        <v>52</v>
      </c>
      <c r="D15" s="7" t="s">
        <v>0</v>
      </c>
      <c r="E15" s="7" t="s">
        <v>0</v>
      </c>
      <c r="F15" s="7" t="s">
        <v>34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16" t="str">
        <f>HYPERLINK("http://www.aruplab.com/Testing-Information/resources/HotLines/HotLineDocs/Oct2026QHL/0020095.pdf","H")</f>
        <v>H</v>
      </c>
      <c r="W15" s="7" t="s">
        <v>0</v>
      </c>
      <c r="X15" s="7" t="s">
        <v>0</v>
      </c>
      <c r="Y15" s="7" t="s">
        <v>0</v>
      </c>
      <c r="Z15" s="8">
        <v>46314</v>
      </c>
    </row>
    <row r="16" spans="1:26" ht="45" x14ac:dyDescent="0.25">
      <c r="A16" s="6" t="s">
        <v>53</v>
      </c>
      <c r="B16" s="6" t="s">
        <v>54</v>
      </c>
      <c r="C16" s="6" t="s">
        <v>55</v>
      </c>
      <c r="D16" s="7" t="s">
        <v>0</v>
      </c>
      <c r="E16" s="7" t="s">
        <v>0</v>
      </c>
      <c r="F16" s="7" t="s">
        <v>34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7" t="s">
        <v>0</v>
      </c>
      <c r="T16" s="7" t="s">
        <v>0</v>
      </c>
      <c r="U16" s="7" t="s">
        <v>0</v>
      </c>
      <c r="V16" s="16" t="str">
        <f>HYPERLINK("http://www.aruplab.com/Testing-Information/resources/HotLines/HotLineDocs/Oct2026QHL/0020128.pdf","H")</f>
        <v>H</v>
      </c>
      <c r="W16" s="7" t="s">
        <v>0</v>
      </c>
      <c r="X16" s="7" t="s">
        <v>0</v>
      </c>
      <c r="Y16" s="7" t="s">
        <v>0</v>
      </c>
      <c r="Z16" s="8">
        <v>46314</v>
      </c>
    </row>
    <row r="17" spans="1:26" ht="60" x14ac:dyDescent="0.25">
      <c r="A17" s="6" t="s">
        <v>56</v>
      </c>
      <c r="B17" s="6" t="s">
        <v>57</v>
      </c>
      <c r="C17" s="6" t="s">
        <v>58</v>
      </c>
      <c r="D17" s="7" t="s">
        <v>0</v>
      </c>
      <c r="E17" s="7" t="s">
        <v>0</v>
      </c>
      <c r="F17" s="7" t="s">
        <v>34</v>
      </c>
      <c r="G17" s="7" t="s">
        <v>0</v>
      </c>
      <c r="H17" s="7" t="s">
        <v>0</v>
      </c>
      <c r="I17" s="7" t="s">
        <v>0</v>
      </c>
      <c r="J17" s="7" t="s">
        <v>34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16" t="str">
        <f>HYPERLINK("http://www.aruplab.com/Testing-Information/resources/HotLines/HotLineDocs/Oct2026QHL/0020454.pdf","H")</f>
        <v>H</v>
      </c>
      <c r="W17" s="7" t="s">
        <v>0</v>
      </c>
      <c r="X17" s="7" t="s">
        <v>0</v>
      </c>
      <c r="Y17" s="7" t="s">
        <v>0</v>
      </c>
      <c r="Z17" s="8">
        <v>46314</v>
      </c>
    </row>
    <row r="18" spans="1:26" ht="30" x14ac:dyDescent="0.25">
      <c r="A18" s="6" t="s">
        <v>59</v>
      </c>
      <c r="B18" s="6" t="s">
        <v>60</v>
      </c>
      <c r="C18" s="6" t="s">
        <v>61</v>
      </c>
      <c r="D18" s="7" t="s">
        <v>0</v>
      </c>
      <c r="E18" s="7" t="s">
        <v>0</v>
      </c>
      <c r="F18" s="7" t="s">
        <v>34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 t="s">
        <v>0</v>
      </c>
      <c r="T18" s="7" t="s">
        <v>0</v>
      </c>
      <c r="U18" s="7" t="s">
        <v>0</v>
      </c>
      <c r="V18" s="16" t="str">
        <f>HYPERLINK("http://www.aruplab.com/Testing-Information/resources/HotLines/HotLineDocs/Oct2026QHL/0020591.pdf","H")</f>
        <v>H</v>
      </c>
      <c r="W18" s="7" t="s">
        <v>0</v>
      </c>
      <c r="X18" s="7" t="s">
        <v>0</v>
      </c>
      <c r="Y18" s="7" t="s">
        <v>0</v>
      </c>
      <c r="Z18" s="8">
        <v>46314</v>
      </c>
    </row>
    <row r="19" spans="1:26" ht="30" x14ac:dyDescent="0.25">
      <c r="A19" s="6" t="s">
        <v>62</v>
      </c>
      <c r="B19" s="6" t="s">
        <v>63</v>
      </c>
      <c r="C19" s="6" t="s">
        <v>64</v>
      </c>
      <c r="D19" s="7" t="s">
        <v>0</v>
      </c>
      <c r="E19" s="7" t="s">
        <v>0</v>
      </c>
      <c r="F19" s="7" t="s">
        <v>34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  <c r="V19" s="16" t="str">
        <f>HYPERLINK("http://www.aruplab.com/Testing-Information/resources/HotLines/HotLineDocs/Oct2026QHL/0020597.pdf","H")</f>
        <v>H</v>
      </c>
      <c r="W19" s="7" t="s">
        <v>0</v>
      </c>
      <c r="X19" s="7" t="s">
        <v>0</v>
      </c>
      <c r="Y19" s="7" t="s">
        <v>0</v>
      </c>
      <c r="Z19" s="8">
        <v>46314</v>
      </c>
    </row>
    <row r="20" spans="1:26" ht="75" x14ac:dyDescent="0.25">
      <c r="A20" s="6" t="s">
        <v>65</v>
      </c>
      <c r="B20" s="6" t="s">
        <v>66</v>
      </c>
      <c r="C20" s="6" t="s">
        <v>67</v>
      </c>
      <c r="D20" s="7" t="s">
        <v>0</v>
      </c>
      <c r="E20" s="7" t="s">
        <v>0</v>
      </c>
      <c r="F20" s="7" t="s">
        <v>34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7" t="s">
        <v>0</v>
      </c>
      <c r="V20" s="16" t="str">
        <f>HYPERLINK("http://www.aruplab.com/Testing-Information/resources/HotLines/HotLineDocs/Oct2026QHL/0020642.pdf","H")</f>
        <v>H</v>
      </c>
      <c r="W20" s="7" t="s">
        <v>0</v>
      </c>
      <c r="X20" s="7" t="s">
        <v>0</v>
      </c>
      <c r="Y20" s="7" t="s">
        <v>0</v>
      </c>
      <c r="Z20" s="8">
        <v>46314</v>
      </c>
    </row>
    <row r="21" spans="1:26" ht="30" x14ac:dyDescent="0.25">
      <c r="A21" s="6" t="s">
        <v>68</v>
      </c>
      <c r="B21" s="6" t="s">
        <v>69</v>
      </c>
      <c r="C21" s="6" t="s">
        <v>70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7" t="s">
        <v>0</v>
      </c>
      <c r="T21" s="7" t="s">
        <v>34</v>
      </c>
      <c r="U21" s="7" t="s">
        <v>0</v>
      </c>
      <c r="V21" s="16" t="str">
        <f>HYPERLINK("http://www.aruplab.com/Testing-Information/resources/HotLines/HotLineDocs/Oct2026QHL/2026.09.04 Oct Quarterly Hotline Inactivations.pdf","H")</f>
        <v>H</v>
      </c>
      <c r="W21" s="7" t="s">
        <v>0</v>
      </c>
      <c r="X21" s="7" t="s">
        <v>0</v>
      </c>
      <c r="Y21" s="7" t="s">
        <v>0</v>
      </c>
      <c r="Z21" s="8">
        <v>46314</v>
      </c>
    </row>
    <row r="22" spans="1:26" ht="30" x14ac:dyDescent="0.25">
      <c r="A22" s="6" t="s">
        <v>71</v>
      </c>
      <c r="B22" s="6" t="s">
        <v>72</v>
      </c>
      <c r="C22" s="6" t="s">
        <v>73</v>
      </c>
      <c r="D22" s="7" t="s">
        <v>0</v>
      </c>
      <c r="E22" s="7" t="s">
        <v>0</v>
      </c>
      <c r="F22" s="7" t="s">
        <v>34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7" t="s">
        <v>0</v>
      </c>
      <c r="U22" s="7" t="s">
        <v>0</v>
      </c>
      <c r="V22" s="16" t="str">
        <f>HYPERLINK("http://www.aruplab.com/Testing-Information/resources/HotLines/HotLineDocs/Oct2026QHL/0049020.pdf","H")</f>
        <v>H</v>
      </c>
      <c r="W22" s="7" t="s">
        <v>0</v>
      </c>
      <c r="X22" s="7" t="s">
        <v>0</v>
      </c>
      <c r="Y22" s="7" t="s">
        <v>0</v>
      </c>
      <c r="Z22" s="8">
        <v>46314</v>
      </c>
    </row>
    <row r="23" spans="1:26" x14ac:dyDescent="0.25">
      <c r="A23" s="6" t="s">
        <v>74</v>
      </c>
      <c r="B23" s="6" t="s">
        <v>75</v>
      </c>
      <c r="C23" s="6" t="s">
        <v>76</v>
      </c>
      <c r="D23" s="7" t="s">
        <v>0</v>
      </c>
      <c r="E23" s="7" t="s">
        <v>0</v>
      </c>
      <c r="F23" s="7" t="s">
        <v>34</v>
      </c>
      <c r="G23" s="7" t="s">
        <v>0</v>
      </c>
      <c r="H23" s="7" t="s">
        <v>0</v>
      </c>
      <c r="I23" s="7" t="s">
        <v>0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16" t="str">
        <f>HYPERLINK("http://www.aruplab.com/Testing-Information/resources/HotLines/HotLineDocs/Oct2026QHL/0049090.pdf","H")</f>
        <v>H</v>
      </c>
      <c r="W23" s="7" t="s">
        <v>0</v>
      </c>
      <c r="X23" s="7" t="s">
        <v>0</v>
      </c>
      <c r="Y23" s="7" t="s">
        <v>0</v>
      </c>
      <c r="Z23" s="8">
        <v>46314</v>
      </c>
    </row>
    <row r="24" spans="1:26" ht="30" x14ac:dyDescent="0.25">
      <c r="A24" s="6" t="s">
        <v>77</v>
      </c>
      <c r="B24" s="6" t="s">
        <v>78</v>
      </c>
      <c r="C24" s="6" t="s">
        <v>79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 t="s">
        <v>0</v>
      </c>
      <c r="T24" s="7" t="s">
        <v>34</v>
      </c>
      <c r="U24" s="7" t="s">
        <v>0</v>
      </c>
      <c r="V24" s="16" t="str">
        <f>HYPERLINK("http://www.aruplab.com/Testing-Information/resources/HotLines/HotLineDocs/Oct2026QHL/2026.09.04 Oct Quarterly Hotline Inactivations.pdf","H")</f>
        <v>H</v>
      </c>
      <c r="W24" s="7" t="s">
        <v>0</v>
      </c>
      <c r="X24" s="7" t="s">
        <v>0</v>
      </c>
      <c r="Y24" s="7" t="s">
        <v>0</v>
      </c>
      <c r="Z24" s="8">
        <v>46314</v>
      </c>
    </row>
    <row r="25" spans="1:26" ht="30" x14ac:dyDescent="0.25">
      <c r="A25" s="6" t="s">
        <v>80</v>
      </c>
      <c r="B25" s="6" t="s">
        <v>81</v>
      </c>
      <c r="C25" s="6" t="s">
        <v>82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34</v>
      </c>
      <c r="U25" s="7" t="s">
        <v>0</v>
      </c>
      <c r="V25" s="16" t="str">
        <f>HYPERLINK("http://www.aruplab.com/Testing-Information/resources/HotLines/HotLineDocs/Oct2026QHL/2026.09.04 Oct Quarterly Hotline Inactivations.pdf","H")</f>
        <v>H</v>
      </c>
      <c r="W25" s="7" t="s">
        <v>0</v>
      </c>
      <c r="X25" s="7" t="s">
        <v>0</v>
      </c>
      <c r="Y25" s="7" t="s">
        <v>0</v>
      </c>
      <c r="Z25" s="8">
        <v>46314</v>
      </c>
    </row>
    <row r="26" spans="1:26" ht="135" x14ac:dyDescent="0.25">
      <c r="A26" s="6" t="s">
        <v>83</v>
      </c>
      <c r="B26" s="6" t="s">
        <v>84</v>
      </c>
      <c r="C26" s="6" t="s">
        <v>85</v>
      </c>
      <c r="D26" s="7" t="s">
        <v>0</v>
      </c>
      <c r="E26" s="7" t="s">
        <v>0</v>
      </c>
      <c r="F26" s="7" t="s">
        <v>34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16" t="str">
        <f>HYPERLINK("http://www.aruplab.com/Testing-Information/resources/HotLines/HotLineDocs/Oct2026QHL/0051164.pdf","H")</f>
        <v>H</v>
      </c>
      <c r="W26" s="7" t="s">
        <v>0</v>
      </c>
      <c r="X26" s="7" t="s">
        <v>0</v>
      </c>
      <c r="Y26" s="7" t="s">
        <v>0</v>
      </c>
      <c r="Z26" s="8">
        <v>46314</v>
      </c>
    </row>
    <row r="27" spans="1:26" ht="30" x14ac:dyDescent="0.25">
      <c r="A27" s="6" t="s">
        <v>86</v>
      </c>
      <c r="B27" s="6" t="s">
        <v>87</v>
      </c>
      <c r="C27" s="6" t="s">
        <v>88</v>
      </c>
      <c r="D27" s="7" t="s">
        <v>0</v>
      </c>
      <c r="E27" s="7" t="s">
        <v>0</v>
      </c>
      <c r="F27" s="7" t="s">
        <v>34</v>
      </c>
      <c r="G27" s="7" t="s">
        <v>0</v>
      </c>
      <c r="H27" s="7" t="s">
        <v>0</v>
      </c>
      <c r="I27" s="7" t="s">
        <v>0</v>
      </c>
      <c r="J27" s="7" t="s">
        <v>0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7" t="s">
        <v>0</v>
      </c>
      <c r="T27" s="7" t="s">
        <v>0</v>
      </c>
      <c r="U27" s="7" t="s">
        <v>0</v>
      </c>
      <c r="V27" s="16" t="str">
        <f>HYPERLINK("http://www.aruplab.com/Testing-Information/resources/HotLines/HotLineDocs/Oct2026QHL/0051394.pdf","H")</f>
        <v>H</v>
      </c>
      <c r="W27" s="7" t="s">
        <v>0</v>
      </c>
      <c r="X27" s="7" t="s">
        <v>0</v>
      </c>
      <c r="Y27" s="7" t="s">
        <v>0</v>
      </c>
      <c r="Z27" s="8">
        <v>46314</v>
      </c>
    </row>
    <row r="28" spans="1:26" ht="30" x14ac:dyDescent="0.25">
      <c r="A28" s="6" t="s">
        <v>89</v>
      </c>
      <c r="B28" s="6" t="s">
        <v>90</v>
      </c>
      <c r="C28" s="6" t="s">
        <v>91</v>
      </c>
      <c r="D28" s="7" t="s">
        <v>0</v>
      </c>
      <c r="E28" s="7" t="s">
        <v>0</v>
      </c>
      <c r="F28" s="7" t="s">
        <v>34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7" t="s">
        <v>0</v>
      </c>
      <c r="T28" s="7" t="s">
        <v>0</v>
      </c>
      <c r="U28" s="7" t="s">
        <v>0</v>
      </c>
      <c r="V28" s="16" t="str">
        <f>HYPERLINK("http://www.aruplab.com/Testing-Information/resources/HotLines/HotLineDocs/Oct2026QHL/0051532.pdf","H")</f>
        <v>H</v>
      </c>
      <c r="W28" s="7" t="s">
        <v>0</v>
      </c>
      <c r="X28" s="7" t="s">
        <v>0</v>
      </c>
      <c r="Y28" s="7" t="s">
        <v>0</v>
      </c>
      <c r="Z28" s="8">
        <v>46314</v>
      </c>
    </row>
    <row r="29" spans="1:26" ht="30" x14ac:dyDescent="0.25">
      <c r="A29" s="6" t="s">
        <v>92</v>
      </c>
      <c r="B29" s="6" t="s">
        <v>93</v>
      </c>
      <c r="C29" s="6" t="s">
        <v>94</v>
      </c>
      <c r="D29" s="7" t="s">
        <v>0</v>
      </c>
      <c r="E29" s="7" t="s">
        <v>0</v>
      </c>
      <c r="F29" s="7" t="s">
        <v>34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  <c r="Q29" s="7" t="s">
        <v>0</v>
      </c>
      <c r="R29" s="7" t="s">
        <v>0</v>
      </c>
      <c r="S29" s="7" t="s">
        <v>0</v>
      </c>
      <c r="T29" s="7" t="s">
        <v>0</v>
      </c>
      <c r="U29" s="7" t="s">
        <v>0</v>
      </c>
      <c r="V29" s="16" t="str">
        <f>HYPERLINK("http://www.aruplab.com/Testing-Information/resources/HotLines/HotLineDocs/Oct2026QHL/0051533.pdf","H")</f>
        <v>H</v>
      </c>
      <c r="W29" s="7" t="s">
        <v>0</v>
      </c>
      <c r="X29" s="7" t="s">
        <v>0</v>
      </c>
      <c r="Y29" s="7" t="s">
        <v>0</v>
      </c>
      <c r="Z29" s="8">
        <v>46314</v>
      </c>
    </row>
    <row r="30" spans="1:26" ht="30" x14ac:dyDescent="0.25">
      <c r="A30" s="6" t="s">
        <v>95</v>
      </c>
      <c r="B30" s="6" t="s">
        <v>96</v>
      </c>
      <c r="C30" s="6" t="s">
        <v>97</v>
      </c>
      <c r="D30" s="7" t="s">
        <v>0</v>
      </c>
      <c r="E30" s="7" t="s">
        <v>0</v>
      </c>
      <c r="F30" s="7" t="s">
        <v>34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16" t="str">
        <f>HYPERLINK("http://www.aruplab.com/Testing-Information/resources/HotLines/HotLineDocs/Oct2026QHL/0051537.pdf","H")</f>
        <v>H</v>
      </c>
      <c r="W30" s="7" t="s">
        <v>0</v>
      </c>
      <c r="X30" s="7" t="s">
        <v>0</v>
      </c>
      <c r="Y30" s="7" t="s">
        <v>0</v>
      </c>
      <c r="Z30" s="8">
        <v>46314</v>
      </c>
    </row>
    <row r="31" spans="1:26" ht="30" x14ac:dyDescent="0.25">
      <c r="A31" s="6" t="s">
        <v>98</v>
      </c>
      <c r="B31" s="6" t="s">
        <v>99</v>
      </c>
      <c r="C31" s="6" t="s">
        <v>100</v>
      </c>
      <c r="D31" s="7" t="s">
        <v>0</v>
      </c>
      <c r="E31" s="7" t="s">
        <v>0</v>
      </c>
      <c r="F31" s="7" t="s">
        <v>34</v>
      </c>
      <c r="G31" s="7" t="s">
        <v>0</v>
      </c>
      <c r="H31" s="7" t="s">
        <v>0</v>
      </c>
      <c r="I31" s="7" t="s">
        <v>0</v>
      </c>
      <c r="J31" s="7" t="s">
        <v>0</v>
      </c>
      <c r="K31" s="7" t="s">
        <v>0</v>
      </c>
      <c r="L31" s="7" t="s">
        <v>0</v>
      </c>
      <c r="M31" s="7" t="s">
        <v>0</v>
      </c>
      <c r="N31" s="7" t="s">
        <v>0</v>
      </c>
      <c r="O31" s="7" t="s">
        <v>0</v>
      </c>
      <c r="P31" s="7" t="s">
        <v>0</v>
      </c>
      <c r="Q31" s="7" t="s">
        <v>0</v>
      </c>
      <c r="R31" s="7" t="s">
        <v>0</v>
      </c>
      <c r="S31" s="7" t="s">
        <v>0</v>
      </c>
      <c r="T31" s="7" t="s">
        <v>0</v>
      </c>
      <c r="U31" s="7" t="s">
        <v>0</v>
      </c>
      <c r="V31" s="16" t="str">
        <f>HYPERLINK("http://www.aruplab.com/Testing-Information/resources/HotLines/HotLineDocs/Oct2026QHL/0051538.pdf","H")</f>
        <v>H</v>
      </c>
      <c r="W31" s="7" t="s">
        <v>0</v>
      </c>
      <c r="X31" s="7" t="s">
        <v>0</v>
      </c>
      <c r="Y31" s="7" t="s">
        <v>0</v>
      </c>
      <c r="Z31" s="8">
        <v>46314</v>
      </c>
    </row>
    <row r="32" spans="1:26" ht="30" x14ac:dyDescent="0.25">
      <c r="A32" s="6" t="s">
        <v>101</v>
      </c>
      <c r="B32" s="6" t="s">
        <v>102</v>
      </c>
      <c r="C32" s="6" t="s">
        <v>103</v>
      </c>
      <c r="D32" s="7" t="s">
        <v>0</v>
      </c>
      <c r="E32" s="7" t="s">
        <v>0</v>
      </c>
      <c r="F32" s="7" t="s">
        <v>34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7" t="s">
        <v>0</v>
      </c>
      <c r="M32" s="7" t="s">
        <v>0</v>
      </c>
      <c r="N32" s="7" t="s">
        <v>0</v>
      </c>
      <c r="O32" s="7" t="s">
        <v>0</v>
      </c>
      <c r="P32" s="7" t="s">
        <v>0</v>
      </c>
      <c r="Q32" s="7" t="s">
        <v>0</v>
      </c>
      <c r="R32" s="7" t="s">
        <v>0</v>
      </c>
      <c r="S32" s="7" t="s">
        <v>0</v>
      </c>
      <c r="T32" s="7" t="s">
        <v>0</v>
      </c>
      <c r="U32" s="7" t="s">
        <v>0</v>
      </c>
      <c r="V32" s="16" t="str">
        <f>HYPERLINK("http://www.aruplab.com/Testing-Information/resources/HotLines/HotLineDocs/Oct2026QHL/0051588.pdf","H")</f>
        <v>H</v>
      </c>
      <c r="W32" s="7" t="s">
        <v>0</v>
      </c>
      <c r="X32" s="7" t="s">
        <v>0</v>
      </c>
      <c r="Y32" s="7" t="s">
        <v>0</v>
      </c>
      <c r="Z32" s="8">
        <v>46314</v>
      </c>
    </row>
    <row r="33" spans="1:26" ht="30" x14ac:dyDescent="0.25">
      <c r="A33" s="6" t="s">
        <v>104</v>
      </c>
      <c r="B33" s="6" t="s">
        <v>105</v>
      </c>
      <c r="C33" s="6" t="s">
        <v>106</v>
      </c>
      <c r="D33" s="7" t="s">
        <v>0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7" t="s">
        <v>0</v>
      </c>
      <c r="K33" s="7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7" t="s">
        <v>0</v>
      </c>
      <c r="S33" s="7" t="s">
        <v>0</v>
      </c>
      <c r="T33" s="7" t="s">
        <v>0</v>
      </c>
      <c r="U33" s="7" t="s">
        <v>34</v>
      </c>
      <c r="V33" s="16" t="str">
        <f>HYPERLINK("http://www.aruplab.com/Testing-Information/resources/HotLines/HotLineDocs/Oct2026QHL/2026.09.04 Oct Quarterly Hotline Inactivations.pdf","H")</f>
        <v>H</v>
      </c>
      <c r="W33" s="7" t="s">
        <v>0</v>
      </c>
      <c r="X33" s="7" t="s">
        <v>0</v>
      </c>
      <c r="Y33" s="7" t="s">
        <v>0</v>
      </c>
      <c r="Z33" s="8">
        <v>46314</v>
      </c>
    </row>
    <row r="34" spans="1:26" ht="45" x14ac:dyDescent="0.25">
      <c r="A34" s="6" t="s">
        <v>107</v>
      </c>
      <c r="B34" s="6" t="s">
        <v>108</v>
      </c>
      <c r="C34" s="6" t="s">
        <v>109</v>
      </c>
      <c r="D34" s="7" t="s">
        <v>0</v>
      </c>
      <c r="E34" s="7" t="s">
        <v>0</v>
      </c>
      <c r="F34" s="7" t="s">
        <v>34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  <c r="R34" s="7" t="s">
        <v>0</v>
      </c>
      <c r="S34" s="7" t="s">
        <v>0</v>
      </c>
      <c r="T34" s="7" t="s">
        <v>0</v>
      </c>
      <c r="U34" s="7" t="s">
        <v>0</v>
      </c>
      <c r="V34" s="16" t="str">
        <f>HYPERLINK("http://www.aruplab.com/Testing-Information/resources/HotLines/HotLineDocs/Oct2026QHL/0055273.pdf","H")</f>
        <v>H</v>
      </c>
      <c r="W34" s="7" t="s">
        <v>0</v>
      </c>
      <c r="X34" s="7" t="s">
        <v>0</v>
      </c>
      <c r="Y34" s="7" t="s">
        <v>0</v>
      </c>
      <c r="Z34" s="8">
        <v>46314</v>
      </c>
    </row>
    <row r="35" spans="1:26" ht="30" x14ac:dyDescent="0.25">
      <c r="A35" s="6" t="s">
        <v>110</v>
      </c>
      <c r="B35" s="6" t="s">
        <v>111</v>
      </c>
      <c r="C35" s="6" t="s">
        <v>112</v>
      </c>
      <c r="D35" s="7" t="s">
        <v>0</v>
      </c>
      <c r="E35" s="7" t="s">
        <v>0</v>
      </c>
      <c r="F35" s="7" t="s">
        <v>34</v>
      </c>
      <c r="G35" s="7" t="s">
        <v>0</v>
      </c>
      <c r="H35" s="7" t="s">
        <v>0</v>
      </c>
      <c r="I35" s="7" t="s">
        <v>0</v>
      </c>
      <c r="J35" s="7" t="s">
        <v>0</v>
      </c>
      <c r="K35" s="7" t="s">
        <v>0</v>
      </c>
      <c r="L35" s="7" t="s">
        <v>0</v>
      </c>
      <c r="M35" s="7" t="s">
        <v>0</v>
      </c>
      <c r="N35" s="7" t="s">
        <v>0</v>
      </c>
      <c r="O35" s="7" t="s">
        <v>0</v>
      </c>
      <c r="P35" s="7" t="s">
        <v>0</v>
      </c>
      <c r="Q35" s="7" t="s">
        <v>0</v>
      </c>
      <c r="R35" s="7" t="s">
        <v>0</v>
      </c>
      <c r="S35" s="7" t="s">
        <v>0</v>
      </c>
      <c r="T35" s="7" t="s">
        <v>0</v>
      </c>
      <c r="U35" s="7" t="s">
        <v>0</v>
      </c>
      <c r="V35" s="16" t="str">
        <f>HYPERLINK("http://www.aruplab.com/Testing-Information/resources/HotLines/HotLineDocs/Oct2026QHL/0055567.pdf","H")</f>
        <v>H</v>
      </c>
      <c r="W35" s="7" t="s">
        <v>0</v>
      </c>
      <c r="X35" s="7" t="s">
        <v>0</v>
      </c>
      <c r="Y35" s="7" t="s">
        <v>0</v>
      </c>
      <c r="Z35" s="8">
        <v>46314</v>
      </c>
    </row>
    <row r="36" spans="1:26" x14ac:dyDescent="0.25">
      <c r="A36" s="6" t="s">
        <v>113</v>
      </c>
      <c r="B36" s="6" t="s">
        <v>114</v>
      </c>
      <c r="C36" s="6" t="s">
        <v>115</v>
      </c>
      <c r="D36" s="7" t="s">
        <v>0</v>
      </c>
      <c r="E36" s="7" t="s">
        <v>0</v>
      </c>
      <c r="F36" s="7" t="s">
        <v>34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7" t="s">
        <v>0</v>
      </c>
      <c r="M36" s="7" t="s">
        <v>0</v>
      </c>
      <c r="N36" s="7" t="s">
        <v>0</v>
      </c>
      <c r="O36" s="7" t="s">
        <v>0</v>
      </c>
      <c r="P36" s="7" t="s">
        <v>0</v>
      </c>
      <c r="Q36" s="7" t="s">
        <v>0</v>
      </c>
      <c r="R36" s="7" t="s">
        <v>0</v>
      </c>
      <c r="S36" s="7" t="s">
        <v>0</v>
      </c>
      <c r="T36" s="7" t="s">
        <v>0</v>
      </c>
      <c r="U36" s="7" t="s">
        <v>0</v>
      </c>
      <c r="V36" s="16" t="str">
        <f>HYPERLINK("http://www.aruplab.com/Testing-Information/resources/HotLines/HotLineDocs/Oct2026QHL/0060149.pdf","H")</f>
        <v>H</v>
      </c>
      <c r="W36" s="7" t="s">
        <v>0</v>
      </c>
      <c r="X36" s="7" t="s">
        <v>0</v>
      </c>
      <c r="Y36" s="7" t="s">
        <v>0</v>
      </c>
      <c r="Z36" s="8">
        <v>46314</v>
      </c>
    </row>
    <row r="37" spans="1:26" ht="135" x14ac:dyDescent="0.25">
      <c r="A37" s="6" t="s">
        <v>116</v>
      </c>
      <c r="B37" s="6" t="s">
        <v>117</v>
      </c>
      <c r="C37" s="6" t="s">
        <v>118</v>
      </c>
      <c r="D37" s="7" t="s">
        <v>0</v>
      </c>
      <c r="E37" s="7" t="s">
        <v>0</v>
      </c>
      <c r="F37" s="7" t="s">
        <v>34</v>
      </c>
      <c r="G37" s="7" t="s">
        <v>0</v>
      </c>
      <c r="H37" s="7" t="s">
        <v>34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7" t="s">
        <v>0</v>
      </c>
      <c r="U37" s="7" t="s">
        <v>0</v>
      </c>
      <c r="V37" s="16" t="str">
        <f>HYPERLINK("http://www.aruplab.com/Testing-Information/resources/HotLines/HotLineDocs/Oct2026QHL/0060738.pdf","H")</f>
        <v>H</v>
      </c>
      <c r="W37" s="7" t="s">
        <v>0</v>
      </c>
      <c r="X37" s="7" t="s">
        <v>0</v>
      </c>
      <c r="Y37" s="7" t="s">
        <v>0</v>
      </c>
      <c r="Z37" s="8">
        <v>46313</v>
      </c>
    </row>
    <row r="38" spans="1:26" ht="75" x14ac:dyDescent="0.25">
      <c r="A38" s="6" t="s">
        <v>119</v>
      </c>
      <c r="B38" s="6" t="s">
        <v>120</v>
      </c>
      <c r="C38" s="6" t="s">
        <v>121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  <c r="Q38" s="7" t="s">
        <v>0</v>
      </c>
      <c r="R38" s="7" t="s">
        <v>0</v>
      </c>
      <c r="S38" s="7" t="s">
        <v>34</v>
      </c>
      <c r="T38" s="7" t="s">
        <v>0</v>
      </c>
      <c r="U38" s="7" t="s">
        <v>0</v>
      </c>
      <c r="V38" s="16" t="str">
        <f>HYPERLINK("http://www.aruplab.com/Testing-Information/resources/HotLines/HotLineDocs/Oct2026QHL/0097688.pdf","H")</f>
        <v>H</v>
      </c>
      <c r="W38" s="7" t="s">
        <v>0</v>
      </c>
      <c r="X38" s="7" t="s">
        <v>0</v>
      </c>
      <c r="Y38" s="7" t="s">
        <v>0</v>
      </c>
      <c r="Z38" s="8">
        <v>46314</v>
      </c>
    </row>
    <row r="39" spans="1:26" x14ac:dyDescent="0.25">
      <c r="A39" s="6" t="s">
        <v>122</v>
      </c>
      <c r="B39" s="6" t="s">
        <v>123</v>
      </c>
      <c r="C39" s="6" t="s">
        <v>124</v>
      </c>
      <c r="D39" s="7" t="s">
        <v>0</v>
      </c>
      <c r="E39" s="7" t="s">
        <v>34</v>
      </c>
      <c r="F39" s="7" t="s">
        <v>0</v>
      </c>
      <c r="G39" s="7" t="s">
        <v>0</v>
      </c>
      <c r="H39" s="7" t="s">
        <v>0</v>
      </c>
      <c r="I39" s="7" t="s">
        <v>34</v>
      </c>
      <c r="J39" s="7" t="s">
        <v>0</v>
      </c>
      <c r="K39" s="7" t="s">
        <v>0</v>
      </c>
      <c r="L39" s="7" t="s">
        <v>34</v>
      </c>
      <c r="M39" s="7" t="s">
        <v>0</v>
      </c>
      <c r="N39" s="7" t="s">
        <v>0</v>
      </c>
      <c r="O39" s="7" t="s">
        <v>0</v>
      </c>
      <c r="P39" s="7" t="s">
        <v>0</v>
      </c>
      <c r="Q39" s="7" t="s">
        <v>0</v>
      </c>
      <c r="R39" s="7" t="s">
        <v>0</v>
      </c>
      <c r="S39" s="7" t="s">
        <v>0</v>
      </c>
      <c r="T39" s="7" t="s">
        <v>0</v>
      </c>
      <c r="U39" s="7" t="s">
        <v>0</v>
      </c>
      <c r="V39" s="16" t="str">
        <f>HYPERLINK("http://www.aruplab.com/Testing-Information/resources/HotLines/HotLineDocs/Oct2026QHL/0099460.pdf","H")</f>
        <v>H</v>
      </c>
      <c r="W39" s="16" t="str">
        <f>HYPERLINK("http://www.aruplab.com/Testing-Information/resources/HotLines/TDMix/Oct2026QHL/0099460.xlsx","T")</f>
        <v>T</v>
      </c>
      <c r="X39" s="16" t="str">
        <f>HYPERLINK("http://www.aruplab.com/Testing-Information/resources/HotLines/Sample_Reports/Oct2026QHL/0099460_Calculi Analysis_CALCULI.pdf","E")</f>
        <v>E</v>
      </c>
      <c r="Y39" s="7" t="s">
        <v>0</v>
      </c>
      <c r="Z39" s="8">
        <v>46314</v>
      </c>
    </row>
    <row r="40" spans="1:26" ht="30" x14ac:dyDescent="0.25">
      <c r="A40" s="6" t="s">
        <v>125</v>
      </c>
      <c r="B40" s="6" t="s">
        <v>126</v>
      </c>
      <c r="C40" s="6" t="s">
        <v>127</v>
      </c>
      <c r="D40" s="7" t="s">
        <v>0</v>
      </c>
      <c r="E40" s="7" t="s">
        <v>0</v>
      </c>
      <c r="F40" s="7" t="s">
        <v>34</v>
      </c>
      <c r="G40" s="7" t="s">
        <v>0</v>
      </c>
      <c r="H40" s="7" t="s">
        <v>0</v>
      </c>
      <c r="I40" s="7" t="s">
        <v>0</v>
      </c>
      <c r="J40" s="7" t="s">
        <v>0</v>
      </c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7" t="s">
        <v>0</v>
      </c>
      <c r="U40" s="7" t="s">
        <v>0</v>
      </c>
      <c r="V40" s="16" t="str">
        <f>HYPERLINK("http://www.aruplab.com/Testing-Information/resources/HotLines/HotLineDocs/Oct2026QHL/2000623.pdf","H")</f>
        <v>H</v>
      </c>
      <c r="W40" s="7" t="s">
        <v>0</v>
      </c>
      <c r="X40" s="7" t="s">
        <v>0</v>
      </c>
      <c r="Y40" s="7" t="s">
        <v>0</v>
      </c>
      <c r="Z40" s="8">
        <v>46314</v>
      </c>
    </row>
    <row r="41" spans="1:26" ht="30" x14ac:dyDescent="0.25">
      <c r="A41" s="6" t="s">
        <v>128</v>
      </c>
      <c r="B41" s="6" t="s">
        <v>129</v>
      </c>
      <c r="C41" s="6" t="s">
        <v>130</v>
      </c>
      <c r="D41" s="7" t="s">
        <v>0</v>
      </c>
      <c r="E41" s="7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7" t="s">
        <v>0</v>
      </c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  <c r="U41" s="7" t="s">
        <v>34</v>
      </c>
      <c r="V41" s="16" t="str">
        <f>HYPERLINK("http://www.aruplab.com/Testing-Information/resources/HotLines/HotLineDocs/Oct2026QHL/2026.09.04 Oct Quarterly Hotline Inactivations.pdf","H")</f>
        <v>H</v>
      </c>
      <c r="W41" s="7" t="s">
        <v>0</v>
      </c>
      <c r="X41" s="7" t="s">
        <v>0</v>
      </c>
      <c r="Y41" s="7" t="s">
        <v>0</v>
      </c>
      <c r="Z41" s="8">
        <v>46314</v>
      </c>
    </row>
    <row r="42" spans="1:26" ht="60" x14ac:dyDescent="0.25">
      <c r="A42" s="6" t="s">
        <v>131</v>
      </c>
      <c r="B42" s="6" t="s">
        <v>132</v>
      </c>
      <c r="C42" s="6" t="s">
        <v>133</v>
      </c>
      <c r="D42" s="7" t="s">
        <v>0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34</v>
      </c>
      <c r="T42" s="7" t="s">
        <v>0</v>
      </c>
      <c r="U42" s="7" t="s">
        <v>0</v>
      </c>
      <c r="V42" s="16" t="str">
        <f>HYPERLINK("http://www.aruplab.com/Testing-Information/resources/HotLines/HotLineDocs/Oct2026QHL/2002926.pdf","H")</f>
        <v>H</v>
      </c>
      <c r="W42" s="7" t="s">
        <v>0</v>
      </c>
      <c r="X42" s="7" t="s">
        <v>0</v>
      </c>
      <c r="Y42" s="7" t="s">
        <v>0</v>
      </c>
      <c r="Z42" s="8">
        <v>46314</v>
      </c>
    </row>
    <row r="43" spans="1:26" ht="60" x14ac:dyDescent="0.25">
      <c r="A43" s="6" t="s">
        <v>134</v>
      </c>
      <c r="B43" s="6" t="s">
        <v>135</v>
      </c>
      <c r="C43" s="6" t="s">
        <v>136</v>
      </c>
      <c r="D43" s="7" t="s">
        <v>0</v>
      </c>
      <c r="E43" s="7" t="s">
        <v>0</v>
      </c>
      <c r="F43" s="7" t="s">
        <v>0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7" t="s">
        <v>0</v>
      </c>
      <c r="M43" s="7" t="s">
        <v>0</v>
      </c>
      <c r="N43" s="7" t="s">
        <v>0</v>
      </c>
      <c r="O43" s="7" t="s">
        <v>0</v>
      </c>
      <c r="P43" s="7" t="s">
        <v>0</v>
      </c>
      <c r="Q43" s="7" t="s">
        <v>0</v>
      </c>
      <c r="R43" s="7" t="s">
        <v>0</v>
      </c>
      <c r="S43" s="7" t="s">
        <v>34</v>
      </c>
      <c r="T43" s="7" t="s">
        <v>0</v>
      </c>
      <c r="U43" s="7" t="s">
        <v>0</v>
      </c>
      <c r="V43" s="16" t="str">
        <f>HYPERLINK("http://www.aruplab.com/Testing-Information/resources/HotLines/HotLineDocs/Oct2026QHL/2003126.pdf","H")</f>
        <v>H</v>
      </c>
      <c r="W43" s="7" t="s">
        <v>0</v>
      </c>
      <c r="X43" s="7" t="s">
        <v>0</v>
      </c>
      <c r="Y43" s="7" t="s">
        <v>0</v>
      </c>
      <c r="Z43" s="8">
        <v>46314</v>
      </c>
    </row>
    <row r="44" spans="1:26" ht="60" x14ac:dyDescent="0.25">
      <c r="A44" s="6" t="s">
        <v>137</v>
      </c>
      <c r="B44" s="6" t="s">
        <v>138</v>
      </c>
      <c r="C44" s="6" t="s">
        <v>139</v>
      </c>
      <c r="D44" s="7" t="s">
        <v>0</v>
      </c>
      <c r="E44" s="7" t="s">
        <v>0</v>
      </c>
      <c r="F44" s="7" t="s">
        <v>0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34</v>
      </c>
      <c r="V44" s="16" t="str">
        <f>HYPERLINK("http://www.aruplab.com/Testing-Information/resources/HotLines/HotLineDocs/Oct2026QHL/2026.09.04 Oct Quarterly Hotline Inactivations.pdf","H")</f>
        <v>H</v>
      </c>
      <c r="W44" s="7" t="s">
        <v>0</v>
      </c>
      <c r="X44" s="7" t="s">
        <v>0</v>
      </c>
      <c r="Y44" s="7" t="s">
        <v>0</v>
      </c>
      <c r="Z44" s="8">
        <v>46314</v>
      </c>
    </row>
    <row r="45" spans="1:26" ht="30" x14ac:dyDescent="0.25">
      <c r="A45" s="6" t="s">
        <v>140</v>
      </c>
      <c r="B45" s="6" t="s">
        <v>141</v>
      </c>
      <c r="C45" s="6" t="s">
        <v>142</v>
      </c>
      <c r="D45" s="7" t="s">
        <v>0</v>
      </c>
      <c r="E45" s="7" t="s">
        <v>34</v>
      </c>
      <c r="F45" s="7" t="s">
        <v>0</v>
      </c>
      <c r="G45" s="7" t="s">
        <v>0</v>
      </c>
      <c r="H45" s="7" t="s">
        <v>0</v>
      </c>
      <c r="I45" s="7" t="s">
        <v>34</v>
      </c>
      <c r="J45" s="7" t="s">
        <v>0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16" t="str">
        <f>HYPERLINK("http://www.aruplab.com/Testing-Information/resources/HotLines/HotLineDocs/Oct2026QHL/2005231.pdf","H")</f>
        <v>H</v>
      </c>
      <c r="W45" s="7" t="s">
        <v>0</v>
      </c>
      <c r="X45" s="16" t="str">
        <f>HYPERLINK("http://www.aruplab.com/Testing-Information/resources/HotLines/Sample_Reports/Oct2026QHL/2005231_Calculi Analysis With Photo_CALCPHOTO.pdf","E")</f>
        <v>E</v>
      </c>
      <c r="Y45" s="7" t="s">
        <v>0</v>
      </c>
      <c r="Z45" s="8">
        <v>46314</v>
      </c>
    </row>
    <row r="46" spans="1:26" ht="60" x14ac:dyDescent="0.25">
      <c r="A46" s="6" t="s">
        <v>143</v>
      </c>
      <c r="B46" s="6" t="s">
        <v>144</v>
      </c>
      <c r="C46" s="6" t="s">
        <v>145</v>
      </c>
      <c r="D46" s="7" t="s">
        <v>0</v>
      </c>
      <c r="E46" s="7" t="s">
        <v>0</v>
      </c>
      <c r="F46" s="7" t="s">
        <v>34</v>
      </c>
      <c r="G46" s="7" t="s">
        <v>0</v>
      </c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16" t="str">
        <f>HYPERLINK("http://www.aruplab.com/Testing-Information/resources/HotLines/HotLineDocs/Oct2026QHL/2005545.pdf","H")</f>
        <v>H</v>
      </c>
      <c r="W46" s="7" t="s">
        <v>0</v>
      </c>
      <c r="X46" s="7" t="s">
        <v>0</v>
      </c>
      <c r="Y46" s="7" t="s">
        <v>0</v>
      </c>
      <c r="Z46" s="8">
        <v>46314</v>
      </c>
    </row>
    <row r="47" spans="1:26" ht="30" x14ac:dyDescent="0.25">
      <c r="A47" s="6" t="s">
        <v>146</v>
      </c>
      <c r="B47" s="6" t="s">
        <v>147</v>
      </c>
      <c r="C47" s="6" t="s">
        <v>148</v>
      </c>
      <c r="D47" s="7" t="s">
        <v>0</v>
      </c>
      <c r="E47" s="7" t="s">
        <v>0</v>
      </c>
      <c r="F47" s="7" t="s">
        <v>0</v>
      </c>
      <c r="G47" s="7" t="s">
        <v>0</v>
      </c>
      <c r="H47" s="7" t="s">
        <v>0</v>
      </c>
      <c r="I47" s="7" t="s">
        <v>0</v>
      </c>
      <c r="J47" s="7" t="s">
        <v>0</v>
      </c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7" t="s">
        <v>0</v>
      </c>
      <c r="S47" s="7" t="s">
        <v>34</v>
      </c>
      <c r="T47" s="7" t="s">
        <v>0</v>
      </c>
      <c r="U47" s="7" t="s">
        <v>0</v>
      </c>
      <c r="V47" s="16" t="str">
        <f>HYPERLINK("http://www.aruplab.com/Testing-Information/resources/HotLines/HotLineDocs/Oct2026QHL/2005593.pdf","H")</f>
        <v>H</v>
      </c>
      <c r="W47" s="7" t="s">
        <v>0</v>
      </c>
      <c r="X47" s="7" t="s">
        <v>0</v>
      </c>
      <c r="Y47" s="7" t="s">
        <v>0</v>
      </c>
      <c r="Z47" s="8">
        <v>46314</v>
      </c>
    </row>
    <row r="48" spans="1:26" ht="45" x14ac:dyDescent="0.25">
      <c r="A48" s="6" t="s">
        <v>149</v>
      </c>
      <c r="B48" s="6" t="s">
        <v>150</v>
      </c>
      <c r="C48" s="6" t="s">
        <v>151</v>
      </c>
      <c r="D48" s="7" t="s">
        <v>0</v>
      </c>
      <c r="E48" s="7" t="s">
        <v>0</v>
      </c>
      <c r="F48" s="7" t="s">
        <v>34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  <c r="Q48" s="7" t="s">
        <v>0</v>
      </c>
      <c r="R48" s="7" t="s">
        <v>0</v>
      </c>
      <c r="S48" s="7" t="s">
        <v>0</v>
      </c>
      <c r="T48" s="7" t="s">
        <v>0</v>
      </c>
      <c r="U48" s="7" t="s">
        <v>0</v>
      </c>
      <c r="V48" s="16" t="str">
        <f>HYPERLINK("http://www.aruplab.com/Testing-Information/resources/HotLines/HotLineDocs/Oct2026QHL/2006193.pdf","H")</f>
        <v>H</v>
      </c>
      <c r="W48" s="7" t="s">
        <v>0</v>
      </c>
      <c r="X48" s="7" t="s">
        <v>0</v>
      </c>
      <c r="Y48" s="7" t="s">
        <v>0</v>
      </c>
      <c r="Z48" s="8">
        <v>46314</v>
      </c>
    </row>
    <row r="49" spans="1:26" x14ac:dyDescent="0.25">
      <c r="A49" s="6" t="s">
        <v>152</v>
      </c>
      <c r="B49" s="6" t="s">
        <v>153</v>
      </c>
      <c r="C49" s="6" t="s">
        <v>154</v>
      </c>
      <c r="D49" s="7" t="s">
        <v>0</v>
      </c>
      <c r="E49" s="7" t="s">
        <v>0</v>
      </c>
      <c r="F49" s="7" t="s">
        <v>0</v>
      </c>
      <c r="G49" s="7" t="s">
        <v>0</v>
      </c>
      <c r="H49" s="7" t="s">
        <v>0</v>
      </c>
      <c r="I49" s="7" t="s">
        <v>0</v>
      </c>
      <c r="J49" s="7" t="s">
        <v>0</v>
      </c>
      <c r="K49" s="7" t="s">
        <v>0</v>
      </c>
      <c r="L49" s="7" t="s">
        <v>0</v>
      </c>
      <c r="M49" s="7" t="s">
        <v>0</v>
      </c>
      <c r="N49" s="7" t="s">
        <v>0</v>
      </c>
      <c r="O49" s="7" t="s">
        <v>0</v>
      </c>
      <c r="P49" s="7" t="s">
        <v>0</v>
      </c>
      <c r="Q49" s="7" t="s">
        <v>0</v>
      </c>
      <c r="R49" s="7" t="s">
        <v>0</v>
      </c>
      <c r="S49" s="7" t="s">
        <v>34</v>
      </c>
      <c r="T49" s="7" t="s">
        <v>0</v>
      </c>
      <c r="U49" s="7" t="s">
        <v>0</v>
      </c>
      <c r="V49" s="16" t="str">
        <f>HYPERLINK("http://www.aruplab.com/Testing-Information/resources/HotLines/HotLineDocs/Oct2026QHL/2006328.pdf","H")</f>
        <v>H</v>
      </c>
      <c r="W49" s="7" t="s">
        <v>0</v>
      </c>
      <c r="X49" s="7" t="s">
        <v>0</v>
      </c>
      <c r="Y49" s="7" t="s">
        <v>0</v>
      </c>
      <c r="Z49" s="8">
        <v>46314</v>
      </c>
    </row>
    <row r="50" spans="1:26" ht="30" x14ac:dyDescent="0.25">
      <c r="A50" s="6" t="s">
        <v>155</v>
      </c>
      <c r="B50" s="6" t="s">
        <v>156</v>
      </c>
      <c r="C50" s="6" t="s">
        <v>157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7" t="s">
        <v>0</v>
      </c>
      <c r="P50" s="7" t="s">
        <v>0</v>
      </c>
      <c r="Q50" s="7" t="s">
        <v>0</v>
      </c>
      <c r="R50" s="7" t="s">
        <v>0</v>
      </c>
      <c r="S50" s="7" t="s">
        <v>0</v>
      </c>
      <c r="T50" s="7" t="s">
        <v>524</v>
      </c>
      <c r="U50" s="7" t="s">
        <v>34</v>
      </c>
      <c r="V50" s="16" t="str">
        <f>HYPERLINK("http://www.aruplab.com/Testing-Information/resources/HotLines/HotLineDocs/Oct2026QHL/2026.09.04 Oct Quarterly Hotline Inactivations.pdf","H")</f>
        <v>H</v>
      </c>
      <c r="W50" s="7" t="s">
        <v>0</v>
      </c>
      <c r="X50" s="7" t="s">
        <v>0</v>
      </c>
      <c r="Y50" s="7" t="s">
        <v>0</v>
      </c>
      <c r="Z50" s="8">
        <v>46314</v>
      </c>
    </row>
    <row r="51" spans="1:26" ht="90" x14ac:dyDescent="0.25">
      <c r="A51" s="6" t="s">
        <v>158</v>
      </c>
      <c r="B51" s="6" t="s">
        <v>159</v>
      </c>
      <c r="C51" s="6" t="s">
        <v>160</v>
      </c>
      <c r="D51" s="7" t="s">
        <v>0</v>
      </c>
      <c r="E51" s="7" t="s">
        <v>0</v>
      </c>
      <c r="F51" s="7" t="s">
        <v>34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  <c r="S51" s="7" t="s">
        <v>0</v>
      </c>
      <c r="T51" s="7" t="s">
        <v>0</v>
      </c>
      <c r="U51" s="7" t="s">
        <v>0</v>
      </c>
      <c r="V51" s="16" t="str">
        <f>HYPERLINK("http://www.aruplab.com/Testing-Information/resources/HotLines/HotLineDocs/Oct2026QHL/2007132.pdf","H")</f>
        <v>H</v>
      </c>
      <c r="W51" s="7" t="s">
        <v>0</v>
      </c>
      <c r="X51" s="7" t="s">
        <v>0</v>
      </c>
      <c r="Y51" s="7" t="s">
        <v>0</v>
      </c>
      <c r="Z51" s="8">
        <v>46314</v>
      </c>
    </row>
    <row r="52" spans="1:26" ht="105" x14ac:dyDescent="0.25">
      <c r="A52" s="6" t="s">
        <v>161</v>
      </c>
      <c r="B52" s="6" t="s">
        <v>162</v>
      </c>
      <c r="C52" s="6" t="s">
        <v>163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  <c r="I52" s="7" t="s">
        <v>0</v>
      </c>
      <c r="J52" s="7" t="s">
        <v>0</v>
      </c>
      <c r="K52" s="7" t="s">
        <v>0</v>
      </c>
      <c r="L52" s="7" t="s">
        <v>34</v>
      </c>
      <c r="M52" s="7" t="s">
        <v>0</v>
      </c>
      <c r="N52" s="7" t="s">
        <v>0</v>
      </c>
      <c r="O52" s="7" t="s">
        <v>0</v>
      </c>
      <c r="P52" s="7" t="s">
        <v>0</v>
      </c>
      <c r="Q52" s="7" t="s">
        <v>0</v>
      </c>
      <c r="R52" s="7" t="s">
        <v>0</v>
      </c>
      <c r="S52" s="7" t="s">
        <v>0</v>
      </c>
      <c r="T52" s="7" t="s">
        <v>0</v>
      </c>
      <c r="U52" s="7" t="s">
        <v>0</v>
      </c>
      <c r="V52" s="16" t="str">
        <f>HYPERLINK("http://www.aruplab.com/Testing-Information/resources/HotLines/HotLineDocs/Oct2026QHL/2007479.pdf","H")</f>
        <v>H</v>
      </c>
      <c r="W52" s="16" t="str">
        <f>HYPERLINK("http://www.aruplab.com/Testing-Information/resources/HotLines/TDMix/Oct2026QHL/2007479.xlsx","T")</f>
        <v>T</v>
      </c>
      <c r="X52" s="16" t="str">
        <f>HYPERLINK("http://www.aruplab.com/Testing-Information/resources/HotLines/Sample_Reports/Oct2026QHL/2007479_Drug Profile, Targeted by Tandem Mass Spectrometry and Enzyme Immunoassay, Urine_PAIN HYB U.pdf","E")</f>
        <v>E</v>
      </c>
      <c r="Y52" s="7" t="s">
        <v>0</v>
      </c>
      <c r="Z52" s="8">
        <v>46314</v>
      </c>
    </row>
    <row r="53" spans="1:26" ht="75" x14ac:dyDescent="0.25">
      <c r="A53" s="6" t="s">
        <v>164</v>
      </c>
      <c r="B53" s="6" t="s">
        <v>165</v>
      </c>
      <c r="C53" s="6" t="s">
        <v>166</v>
      </c>
      <c r="D53" s="7" t="s">
        <v>0</v>
      </c>
      <c r="E53" s="7" t="s">
        <v>0</v>
      </c>
      <c r="F53" s="7" t="s">
        <v>34</v>
      </c>
      <c r="G53" s="7" t="s">
        <v>0</v>
      </c>
      <c r="H53" s="7" t="s">
        <v>0</v>
      </c>
      <c r="I53" s="7" t="s">
        <v>0</v>
      </c>
      <c r="J53" s="7" t="s">
        <v>0</v>
      </c>
      <c r="K53" s="7" t="s">
        <v>0</v>
      </c>
      <c r="L53" s="7" t="s">
        <v>0</v>
      </c>
      <c r="M53" s="7" t="s">
        <v>0</v>
      </c>
      <c r="N53" s="7" t="s">
        <v>0</v>
      </c>
      <c r="O53" s="7" t="s">
        <v>0</v>
      </c>
      <c r="P53" s="7" t="s">
        <v>0</v>
      </c>
      <c r="Q53" s="7" t="s">
        <v>0</v>
      </c>
      <c r="R53" s="7" t="s">
        <v>0</v>
      </c>
      <c r="S53" s="7" t="s">
        <v>0</v>
      </c>
      <c r="T53" s="7" t="s">
        <v>0</v>
      </c>
      <c r="U53" s="7" t="s">
        <v>0</v>
      </c>
      <c r="V53" s="16" t="str">
        <f>HYPERLINK("http://www.aruplab.com/Testing-Information/resources/HotLines/HotLineDocs/Oct2026QHL/2007573.pdf","H")</f>
        <v>H</v>
      </c>
      <c r="W53" s="7" t="s">
        <v>0</v>
      </c>
      <c r="X53" s="7" t="s">
        <v>0</v>
      </c>
      <c r="Y53" s="7" t="s">
        <v>0</v>
      </c>
      <c r="Z53" s="8">
        <v>46314</v>
      </c>
    </row>
    <row r="54" spans="1:26" ht="60" x14ac:dyDescent="0.25">
      <c r="A54" s="6" t="s">
        <v>167</v>
      </c>
      <c r="B54" s="6" t="s">
        <v>168</v>
      </c>
      <c r="C54" s="6" t="s">
        <v>169</v>
      </c>
      <c r="D54" s="7" t="s">
        <v>0</v>
      </c>
      <c r="E54" s="7" t="s">
        <v>0</v>
      </c>
      <c r="F54" s="7" t="s">
        <v>34</v>
      </c>
      <c r="G54" s="7" t="s">
        <v>0</v>
      </c>
      <c r="H54" s="7" t="s">
        <v>0</v>
      </c>
      <c r="I54" s="7" t="s">
        <v>0</v>
      </c>
      <c r="J54" s="7" t="s">
        <v>0</v>
      </c>
      <c r="K54" s="7" t="s">
        <v>0</v>
      </c>
      <c r="L54" s="7" t="s">
        <v>0</v>
      </c>
      <c r="M54" s="7" t="s">
        <v>0</v>
      </c>
      <c r="N54" s="7" t="s">
        <v>0</v>
      </c>
      <c r="O54" s="7" t="s">
        <v>0</v>
      </c>
      <c r="P54" s="7" t="s">
        <v>0</v>
      </c>
      <c r="Q54" s="7" t="s">
        <v>0</v>
      </c>
      <c r="R54" s="7" t="s">
        <v>0</v>
      </c>
      <c r="S54" s="7" t="s">
        <v>0</v>
      </c>
      <c r="T54" s="7" t="s">
        <v>0</v>
      </c>
      <c r="U54" s="7" t="s">
        <v>0</v>
      </c>
      <c r="V54" s="16" t="str">
        <f>HYPERLINK("http://www.aruplab.com/Testing-Information/resources/HotLines/HotLineDocs/Oct2026QHL/2007575.pdf","H")</f>
        <v>H</v>
      </c>
      <c r="W54" s="7" t="s">
        <v>0</v>
      </c>
      <c r="X54" s="7" t="s">
        <v>0</v>
      </c>
      <c r="Y54" s="7" t="s">
        <v>0</v>
      </c>
      <c r="Z54" s="8">
        <v>46314</v>
      </c>
    </row>
    <row r="55" spans="1:26" ht="30" x14ac:dyDescent="0.25">
      <c r="A55" s="6" t="s">
        <v>170</v>
      </c>
      <c r="B55" s="6" t="s">
        <v>171</v>
      </c>
      <c r="C55" s="6" t="s">
        <v>172</v>
      </c>
      <c r="D55" s="7" t="s">
        <v>0</v>
      </c>
      <c r="E55" s="7" t="s">
        <v>34</v>
      </c>
      <c r="F55" s="7" t="s">
        <v>0</v>
      </c>
      <c r="G55" s="7" t="s">
        <v>34</v>
      </c>
      <c r="H55" s="7" t="s">
        <v>0</v>
      </c>
      <c r="I55" s="7" t="s">
        <v>0</v>
      </c>
      <c r="J55" s="7" t="s">
        <v>0</v>
      </c>
      <c r="K55" s="7" t="s">
        <v>34</v>
      </c>
      <c r="L55" s="7" t="s">
        <v>0</v>
      </c>
      <c r="M55" s="7" t="s">
        <v>0</v>
      </c>
      <c r="N55" s="7" t="s">
        <v>0</v>
      </c>
      <c r="O55" s="7" t="s">
        <v>0</v>
      </c>
      <c r="P55" s="7" t="s">
        <v>0</v>
      </c>
      <c r="Q55" s="7" t="s">
        <v>0</v>
      </c>
      <c r="R55" s="7" t="s">
        <v>0</v>
      </c>
      <c r="S55" s="7" t="s">
        <v>0</v>
      </c>
      <c r="T55" s="7" t="s">
        <v>0</v>
      </c>
      <c r="U55" s="7" t="s">
        <v>0</v>
      </c>
      <c r="V55" s="16" t="str">
        <f>HYPERLINK("http://www.aruplab.com/Testing-Information/resources/HotLines/HotLineDocs/Oct2026QHL/2007715.pdf","H")</f>
        <v>H</v>
      </c>
      <c r="W55" s="7" t="s">
        <v>0</v>
      </c>
      <c r="X55" s="16" t="str">
        <f>HYPERLINK("http://www.aruplab.com/Testing-Information/resources/HotLines/Sample_Reports/Oct2026QHL/2007715_Cellano k KEL2 Antigen Typing Patient_K LITTLEAG.pdf","E")</f>
        <v>E</v>
      </c>
      <c r="Y55" s="7" t="s">
        <v>0</v>
      </c>
      <c r="Z55" s="8">
        <v>46314</v>
      </c>
    </row>
    <row r="56" spans="1:26" ht="30" x14ac:dyDescent="0.25">
      <c r="A56" s="6" t="s">
        <v>173</v>
      </c>
      <c r="B56" s="6" t="s">
        <v>174</v>
      </c>
      <c r="C56" s="6" t="s">
        <v>175</v>
      </c>
      <c r="D56" s="7" t="s">
        <v>0</v>
      </c>
      <c r="E56" s="7" t="s">
        <v>0</v>
      </c>
      <c r="F56" s="7" t="s">
        <v>0</v>
      </c>
      <c r="G56" s="7" t="s">
        <v>0</v>
      </c>
      <c r="H56" s="7" t="s">
        <v>0</v>
      </c>
      <c r="I56" s="7" t="s">
        <v>0</v>
      </c>
      <c r="J56" s="7" t="s">
        <v>0</v>
      </c>
      <c r="K56" s="7" t="s">
        <v>0</v>
      </c>
      <c r="L56" s="7" t="s">
        <v>0</v>
      </c>
      <c r="M56" s="7" t="s">
        <v>0</v>
      </c>
      <c r="N56" s="7" t="s">
        <v>0</v>
      </c>
      <c r="O56" s="7" t="s">
        <v>0</v>
      </c>
      <c r="P56" s="7" t="s">
        <v>0</v>
      </c>
      <c r="Q56" s="7" t="s">
        <v>0</v>
      </c>
      <c r="R56" s="7" t="s">
        <v>0</v>
      </c>
      <c r="S56" s="7" t="s">
        <v>0</v>
      </c>
      <c r="T56" s="7" t="s">
        <v>34</v>
      </c>
      <c r="U56" s="7" t="s">
        <v>0</v>
      </c>
      <c r="V56" s="16" t="str">
        <f>HYPERLINK("http://www.aruplab.com/Testing-Information/resources/HotLines/HotLineDocs/Oct2026QHL/2026.09.04 Oct Quarterly Hotline Inactivations.pdf","H")</f>
        <v>H</v>
      </c>
      <c r="W56" s="7" t="s">
        <v>0</v>
      </c>
      <c r="X56" s="7" t="s">
        <v>0</v>
      </c>
      <c r="Y56" s="7" t="s">
        <v>0</v>
      </c>
      <c r="Z56" s="8">
        <v>46314</v>
      </c>
    </row>
    <row r="57" spans="1:26" ht="30" x14ac:dyDescent="0.25">
      <c r="A57" s="6" t="s">
        <v>176</v>
      </c>
      <c r="B57" s="6" t="s">
        <v>177</v>
      </c>
      <c r="C57" s="6" t="s">
        <v>178</v>
      </c>
      <c r="D57" s="7" t="s">
        <v>0</v>
      </c>
      <c r="E57" s="7" t="s">
        <v>0</v>
      </c>
      <c r="F57" s="7" t="s">
        <v>0</v>
      </c>
      <c r="G57" s="7" t="s">
        <v>0</v>
      </c>
      <c r="H57" s="7" t="s">
        <v>0</v>
      </c>
      <c r="I57" s="7" t="s">
        <v>0</v>
      </c>
      <c r="J57" s="7" t="s">
        <v>0</v>
      </c>
      <c r="K57" s="7" t="s">
        <v>0</v>
      </c>
      <c r="L57" s="7" t="s">
        <v>0</v>
      </c>
      <c r="M57" s="7" t="s">
        <v>0</v>
      </c>
      <c r="N57" s="7" t="s">
        <v>0</v>
      </c>
      <c r="O57" s="7" t="s">
        <v>0</v>
      </c>
      <c r="P57" s="7" t="s">
        <v>0</v>
      </c>
      <c r="Q57" s="7" t="s">
        <v>0</v>
      </c>
      <c r="R57" s="7" t="s">
        <v>0</v>
      </c>
      <c r="S57" s="7" t="s">
        <v>0</v>
      </c>
      <c r="T57" s="7" t="s">
        <v>34</v>
      </c>
      <c r="U57" s="7" t="s">
        <v>0</v>
      </c>
      <c r="V57" s="16" t="str">
        <f>HYPERLINK("http://www.aruplab.com/Testing-Information/resources/HotLines/HotLineDocs/Oct2026QHL/2026.09.04 Oct Quarterly Hotline Inactivations.pdf","H")</f>
        <v>H</v>
      </c>
      <c r="W57" s="7" t="s">
        <v>0</v>
      </c>
      <c r="X57" s="7" t="s">
        <v>0</v>
      </c>
      <c r="Y57" s="7" t="s">
        <v>0</v>
      </c>
      <c r="Z57" s="8">
        <v>46314</v>
      </c>
    </row>
    <row r="58" spans="1:26" ht="30" x14ac:dyDescent="0.25">
      <c r="A58" s="6" t="s">
        <v>179</v>
      </c>
      <c r="B58" s="6" t="s">
        <v>180</v>
      </c>
      <c r="C58" s="6" t="s">
        <v>181</v>
      </c>
      <c r="D58" s="7" t="s">
        <v>0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 t="s">
        <v>0</v>
      </c>
      <c r="O58" s="7" t="s">
        <v>0</v>
      </c>
      <c r="P58" s="7" t="s">
        <v>0</v>
      </c>
      <c r="Q58" s="7" t="s">
        <v>0</v>
      </c>
      <c r="R58" s="7" t="s">
        <v>0</v>
      </c>
      <c r="S58" s="7" t="s">
        <v>0</v>
      </c>
      <c r="T58" s="7" t="s">
        <v>34</v>
      </c>
      <c r="U58" s="7" t="s">
        <v>0</v>
      </c>
      <c r="V58" s="16" t="str">
        <f>HYPERLINK("http://www.aruplab.com/Testing-Information/resources/HotLines/HotLineDocs/Oct2026QHL/2026.09.04 Oct Quarterly Hotline Inactivations.pdf","H")</f>
        <v>H</v>
      </c>
      <c r="W58" s="7" t="s">
        <v>0</v>
      </c>
      <c r="X58" s="7" t="s">
        <v>0</v>
      </c>
      <c r="Y58" s="7" t="s">
        <v>0</v>
      </c>
      <c r="Z58" s="8">
        <v>46314</v>
      </c>
    </row>
    <row r="59" spans="1:26" ht="30" x14ac:dyDescent="0.25">
      <c r="A59" s="6" t="s">
        <v>182</v>
      </c>
      <c r="B59" s="6" t="s">
        <v>183</v>
      </c>
      <c r="C59" s="6" t="s">
        <v>184</v>
      </c>
      <c r="D59" s="7" t="s">
        <v>0</v>
      </c>
      <c r="E59" s="7" t="s">
        <v>0</v>
      </c>
      <c r="F59" s="7" t="s">
        <v>0</v>
      </c>
      <c r="G59" s="7" t="s">
        <v>0</v>
      </c>
      <c r="H59" s="7" t="s">
        <v>0</v>
      </c>
      <c r="I59" s="7" t="s">
        <v>0</v>
      </c>
      <c r="J59" s="7" t="s">
        <v>0</v>
      </c>
      <c r="K59" s="7" t="s">
        <v>0</v>
      </c>
      <c r="L59" s="7" t="s">
        <v>0</v>
      </c>
      <c r="M59" s="7" t="s">
        <v>0</v>
      </c>
      <c r="N59" s="7" t="s">
        <v>0</v>
      </c>
      <c r="O59" s="7" t="s">
        <v>0</v>
      </c>
      <c r="P59" s="7" t="s">
        <v>0</v>
      </c>
      <c r="Q59" s="7" t="s">
        <v>0</v>
      </c>
      <c r="R59" s="7" t="s">
        <v>0</v>
      </c>
      <c r="S59" s="7" t="s">
        <v>0</v>
      </c>
      <c r="T59" s="7" t="s">
        <v>34</v>
      </c>
      <c r="U59" s="7" t="s">
        <v>0</v>
      </c>
      <c r="V59" s="16" t="str">
        <f>HYPERLINK("http://www.aruplab.com/Testing-Information/resources/HotLines/HotLineDocs/Oct2026QHL/2026.09.04 Oct Quarterly Hotline Inactivations.pdf","H")</f>
        <v>H</v>
      </c>
      <c r="W59" s="7" t="s">
        <v>0</v>
      </c>
      <c r="X59" s="7" t="s">
        <v>0</v>
      </c>
      <c r="Y59" s="7" t="s">
        <v>0</v>
      </c>
      <c r="Z59" s="8">
        <v>46314</v>
      </c>
    </row>
    <row r="60" spans="1:26" ht="30" x14ac:dyDescent="0.25">
      <c r="A60" s="6" t="s">
        <v>185</v>
      </c>
      <c r="B60" s="6" t="s">
        <v>186</v>
      </c>
      <c r="C60" s="6" t="s">
        <v>187</v>
      </c>
      <c r="D60" s="7" t="s">
        <v>0</v>
      </c>
      <c r="E60" s="7" t="s">
        <v>0</v>
      </c>
      <c r="F60" s="7" t="s">
        <v>0</v>
      </c>
      <c r="G60" s="7" t="s">
        <v>0</v>
      </c>
      <c r="H60" s="7" t="s">
        <v>0</v>
      </c>
      <c r="I60" s="7" t="s">
        <v>0</v>
      </c>
      <c r="J60" s="7" t="s">
        <v>0</v>
      </c>
      <c r="K60" s="7" t="s">
        <v>0</v>
      </c>
      <c r="L60" s="7" t="s">
        <v>0</v>
      </c>
      <c r="M60" s="7" t="s">
        <v>0</v>
      </c>
      <c r="N60" s="7" t="s">
        <v>0</v>
      </c>
      <c r="O60" s="7" t="s">
        <v>0</v>
      </c>
      <c r="P60" s="7" t="s">
        <v>0</v>
      </c>
      <c r="Q60" s="7" t="s">
        <v>0</v>
      </c>
      <c r="R60" s="7" t="s">
        <v>0</v>
      </c>
      <c r="S60" s="7" t="s">
        <v>0</v>
      </c>
      <c r="T60" s="7" t="s">
        <v>34</v>
      </c>
      <c r="U60" s="7" t="s">
        <v>0</v>
      </c>
      <c r="V60" s="16" t="str">
        <f>HYPERLINK("http://www.aruplab.com/Testing-Information/resources/HotLines/HotLineDocs/Oct2026QHL/2026.09.04 Oct Quarterly Hotline Inactivations.pdf","H")</f>
        <v>H</v>
      </c>
      <c r="W60" s="7" t="s">
        <v>0</v>
      </c>
      <c r="X60" s="7" t="s">
        <v>0</v>
      </c>
      <c r="Y60" s="7" t="s">
        <v>0</v>
      </c>
      <c r="Z60" s="8">
        <v>46314</v>
      </c>
    </row>
    <row r="61" spans="1:26" ht="30" x14ac:dyDescent="0.25">
      <c r="A61" s="6" t="s">
        <v>188</v>
      </c>
      <c r="B61" s="6" t="s">
        <v>189</v>
      </c>
      <c r="C61" s="6" t="s">
        <v>190</v>
      </c>
      <c r="D61" s="7" t="s">
        <v>0</v>
      </c>
      <c r="E61" s="7" t="s">
        <v>0</v>
      </c>
      <c r="F61" s="7" t="s">
        <v>0</v>
      </c>
      <c r="G61" s="7" t="s">
        <v>0</v>
      </c>
      <c r="H61" s="7" t="s">
        <v>0</v>
      </c>
      <c r="I61" s="7" t="s">
        <v>0</v>
      </c>
      <c r="J61" s="7" t="s">
        <v>0</v>
      </c>
      <c r="K61" s="7" t="s">
        <v>0</v>
      </c>
      <c r="L61" s="7" t="s">
        <v>0</v>
      </c>
      <c r="M61" s="7" t="s">
        <v>0</v>
      </c>
      <c r="N61" s="7" t="s">
        <v>0</v>
      </c>
      <c r="O61" s="7" t="s">
        <v>0</v>
      </c>
      <c r="P61" s="7" t="s">
        <v>0</v>
      </c>
      <c r="Q61" s="7" t="s">
        <v>0</v>
      </c>
      <c r="R61" s="7" t="s">
        <v>0</v>
      </c>
      <c r="S61" s="7" t="s">
        <v>0</v>
      </c>
      <c r="T61" s="7" t="s">
        <v>34</v>
      </c>
      <c r="U61" s="7" t="s">
        <v>0</v>
      </c>
      <c r="V61" s="16" t="str">
        <f>HYPERLINK("http://www.aruplab.com/Testing-Information/resources/HotLines/HotLineDocs/Oct2026QHL/2026.09.04 Oct Quarterly Hotline Inactivations.pdf","H")</f>
        <v>H</v>
      </c>
      <c r="W61" s="7" t="s">
        <v>0</v>
      </c>
      <c r="X61" s="7" t="s">
        <v>0</v>
      </c>
      <c r="Y61" s="7" t="s">
        <v>0</v>
      </c>
      <c r="Z61" s="8">
        <v>46314</v>
      </c>
    </row>
    <row r="62" spans="1:26" ht="30" x14ac:dyDescent="0.25">
      <c r="A62" s="6" t="s">
        <v>191</v>
      </c>
      <c r="B62" s="6" t="s">
        <v>192</v>
      </c>
      <c r="C62" s="6" t="s">
        <v>193</v>
      </c>
      <c r="D62" s="7" t="s">
        <v>0</v>
      </c>
      <c r="E62" s="7" t="s">
        <v>0</v>
      </c>
      <c r="F62" s="7" t="s">
        <v>0</v>
      </c>
      <c r="G62" s="7" t="s">
        <v>0</v>
      </c>
      <c r="H62" s="7" t="s">
        <v>0</v>
      </c>
      <c r="I62" s="7" t="s">
        <v>0</v>
      </c>
      <c r="J62" s="7" t="s">
        <v>0</v>
      </c>
      <c r="K62" s="7" t="s">
        <v>0</v>
      </c>
      <c r="L62" s="7" t="s">
        <v>0</v>
      </c>
      <c r="M62" s="7" t="s">
        <v>0</v>
      </c>
      <c r="N62" s="7" t="s">
        <v>0</v>
      </c>
      <c r="O62" s="7" t="s">
        <v>0</v>
      </c>
      <c r="P62" s="7" t="s">
        <v>0</v>
      </c>
      <c r="Q62" s="7" t="s">
        <v>0</v>
      </c>
      <c r="R62" s="7" t="s">
        <v>0</v>
      </c>
      <c r="S62" s="7" t="s">
        <v>0</v>
      </c>
      <c r="T62" s="7" t="s">
        <v>34</v>
      </c>
      <c r="U62" s="7" t="s">
        <v>0</v>
      </c>
      <c r="V62" s="16" t="str">
        <f>HYPERLINK("http://www.aruplab.com/Testing-Information/resources/HotLines/HotLineDocs/Oct2026QHL/2026.09.04 Oct Quarterly Hotline Inactivations.pdf","H")</f>
        <v>H</v>
      </c>
      <c r="W62" s="7" t="s">
        <v>0</v>
      </c>
      <c r="X62" s="7" t="s">
        <v>0</v>
      </c>
      <c r="Y62" s="7" t="s">
        <v>0</v>
      </c>
      <c r="Z62" s="8">
        <v>46314</v>
      </c>
    </row>
    <row r="63" spans="1:26" ht="30" x14ac:dyDescent="0.25">
      <c r="A63" s="6" t="s">
        <v>194</v>
      </c>
      <c r="B63" s="6" t="s">
        <v>195</v>
      </c>
      <c r="C63" s="6" t="s">
        <v>196</v>
      </c>
      <c r="D63" s="7" t="s">
        <v>0</v>
      </c>
      <c r="E63" s="7" t="s">
        <v>34</v>
      </c>
      <c r="F63" s="7" t="s">
        <v>0</v>
      </c>
      <c r="G63" s="7" t="s">
        <v>34</v>
      </c>
      <c r="H63" s="7" t="s">
        <v>34</v>
      </c>
      <c r="I63" s="7" t="s">
        <v>0</v>
      </c>
      <c r="J63" s="7" t="s">
        <v>0</v>
      </c>
      <c r="K63" s="7" t="s">
        <v>34</v>
      </c>
      <c r="L63" s="7" t="s">
        <v>0</v>
      </c>
      <c r="M63" s="7" t="s">
        <v>0</v>
      </c>
      <c r="N63" s="7" t="s">
        <v>0</v>
      </c>
      <c r="O63" s="7" t="s">
        <v>0</v>
      </c>
      <c r="P63" s="7" t="s">
        <v>0</v>
      </c>
      <c r="Q63" s="7" t="s">
        <v>0</v>
      </c>
      <c r="R63" s="7" t="s">
        <v>0</v>
      </c>
      <c r="S63" s="7" t="s">
        <v>0</v>
      </c>
      <c r="T63" s="7" t="s">
        <v>0</v>
      </c>
      <c r="U63" s="7" t="s">
        <v>0</v>
      </c>
      <c r="V63" s="16" t="str">
        <f>HYPERLINK("http://www.aruplab.com/Testing-Information/resources/HotLines/HotLineDocs/Oct2026QHL/2007731.pdf","H")</f>
        <v>H</v>
      </c>
      <c r="W63" s="7" t="s">
        <v>0</v>
      </c>
      <c r="X63" s="16" t="str">
        <f>HYPERLINK("http://www.aruplab.com/Testing-Information/resources/HotLines/Sample_Reports/Oct2026QHL/2007731_Kell KEL1 Antigen Typing Patient_K AG.pdf","E")</f>
        <v>E</v>
      </c>
      <c r="Y63" s="7" t="s">
        <v>0</v>
      </c>
      <c r="Z63" s="8">
        <v>46314</v>
      </c>
    </row>
    <row r="64" spans="1:26" ht="30" x14ac:dyDescent="0.25">
      <c r="A64" s="6" t="s">
        <v>197</v>
      </c>
      <c r="B64" s="6" t="s">
        <v>198</v>
      </c>
      <c r="C64" s="6" t="s">
        <v>199</v>
      </c>
      <c r="D64" s="7" t="s">
        <v>0</v>
      </c>
      <c r="E64" s="7" t="s">
        <v>0</v>
      </c>
      <c r="F64" s="7" t="s">
        <v>0</v>
      </c>
      <c r="G64" s="7" t="s">
        <v>0</v>
      </c>
      <c r="H64" s="7" t="s">
        <v>0</v>
      </c>
      <c r="I64" s="7" t="s">
        <v>0</v>
      </c>
      <c r="J64" s="7" t="s">
        <v>0</v>
      </c>
      <c r="K64" s="7" t="s">
        <v>0</v>
      </c>
      <c r="L64" s="7" t="s">
        <v>0</v>
      </c>
      <c r="M64" s="7" t="s">
        <v>0</v>
      </c>
      <c r="N64" s="7" t="s">
        <v>0</v>
      </c>
      <c r="O64" s="7" t="s">
        <v>0</v>
      </c>
      <c r="P64" s="7" t="s">
        <v>0</v>
      </c>
      <c r="Q64" s="7" t="s">
        <v>0</v>
      </c>
      <c r="R64" s="7" t="s">
        <v>0</v>
      </c>
      <c r="S64" s="7" t="s">
        <v>0</v>
      </c>
      <c r="T64" s="7" t="s">
        <v>34</v>
      </c>
      <c r="U64" s="7" t="s">
        <v>0</v>
      </c>
      <c r="V64" s="16" t="str">
        <f>HYPERLINK("http://www.aruplab.com/Testing-Information/resources/HotLines/HotLineDocs/Oct2026QHL/2026.09.04 Oct Quarterly Hotline Inactivations.pdf","H")</f>
        <v>H</v>
      </c>
      <c r="W64" s="7" t="s">
        <v>0</v>
      </c>
      <c r="X64" s="7" t="s">
        <v>0</v>
      </c>
      <c r="Y64" s="7" t="s">
        <v>0</v>
      </c>
      <c r="Z64" s="8">
        <v>46314</v>
      </c>
    </row>
    <row r="65" spans="1:26" ht="30" x14ac:dyDescent="0.25">
      <c r="A65" s="6" t="s">
        <v>200</v>
      </c>
      <c r="B65" s="6" t="s">
        <v>201</v>
      </c>
      <c r="C65" s="6" t="s">
        <v>202</v>
      </c>
      <c r="D65" s="7" t="s">
        <v>0</v>
      </c>
      <c r="E65" s="7" t="s">
        <v>0</v>
      </c>
      <c r="F65" s="7" t="s">
        <v>0</v>
      </c>
      <c r="G65" s="7" t="s">
        <v>0</v>
      </c>
      <c r="H65" s="7" t="s">
        <v>0</v>
      </c>
      <c r="I65" s="7" t="s">
        <v>0</v>
      </c>
      <c r="J65" s="7" t="s">
        <v>0</v>
      </c>
      <c r="K65" s="7" t="s">
        <v>0</v>
      </c>
      <c r="L65" s="7" t="s">
        <v>0</v>
      </c>
      <c r="M65" s="7" t="s">
        <v>0</v>
      </c>
      <c r="N65" s="7" t="s">
        <v>0</v>
      </c>
      <c r="O65" s="7" t="s">
        <v>0</v>
      </c>
      <c r="P65" s="7" t="s">
        <v>0</v>
      </c>
      <c r="Q65" s="7" t="s">
        <v>0</v>
      </c>
      <c r="R65" s="7" t="s">
        <v>0</v>
      </c>
      <c r="S65" s="7" t="s">
        <v>0</v>
      </c>
      <c r="T65" s="7" t="s">
        <v>34</v>
      </c>
      <c r="U65" s="7" t="s">
        <v>0</v>
      </c>
      <c r="V65" s="16" t="str">
        <f>HYPERLINK("http://www.aruplab.com/Testing-Information/resources/HotLines/HotLineDocs/Oct2026QHL/2026.09.04 Oct Quarterly Hotline Inactivations.pdf","H")</f>
        <v>H</v>
      </c>
      <c r="W65" s="7" t="s">
        <v>0</v>
      </c>
      <c r="X65" s="7" t="s">
        <v>0</v>
      </c>
      <c r="Y65" s="7" t="s">
        <v>0</v>
      </c>
      <c r="Z65" s="8">
        <v>46314</v>
      </c>
    </row>
    <row r="66" spans="1:26" ht="30" x14ac:dyDescent="0.25">
      <c r="A66" s="6" t="s">
        <v>203</v>
      </c>
      <c r="B66" s="6" t="s">
        <v>204</v>
      </c>
      <c r="C66" s="6" t="s">
        <v>205</v>
      </c>
      <c r="D66" s="7" t="s">
        <v>0</v>
      </c>
      <c r="E66" s="7" t="s">
        <v>34</v>
      </c>
      <c r="F66" s="7" t="s">
        <v>0</v>
      </c>
      <c r="G66" s="7" t="s">
        <v>34</v>
      </c>
      <c r="H66" s="7" t="s">
        <v>0</v>
      </c>
      <c r="I66" s="7" t="s">
        <v>0</v>
      </c>
      <c r="J66" s="7" t="s">
        <v>0</v>
      </c>
      <c r="K66" s="7" t="s">
        <v>34</v>
      </c>
      <c r="L66" s="7" t="s">
        <v>0</v>
      </c>
      <c r="M66" s="7" t="s">
        <v>0</v>
      </c>
      <c r="N66" s="7" t="s">
        <v>0</v>
      </c>
      <c r="O66" s="7" t="s">
        <v>0</v>
      </c>
      <c r="P66" s="7" t="s">
        <v>0</v>
      </c>
      <c r="Q66" s="7" t="s">
        <v>0</v>
      </c>
      <c r="R66" s="7" t="s">
        <v>0</v>
      </c>
      <c r="S66" s="7" t="s">
        <v>0</v>
      </c>
      <c r="T66" s="7" t="s">
        <v>0</v>
      </c>
      <c r="U66" s="7" t="s">
        <v>0</v>
      </c>
      <c r="V66" s="16" t="str">
        <f>HYPERLINK("http://www.aruplab.com/Testing-Information/resources/HotLines/HotLineDocs/Oct2026QHL/2007737.pdf","H")</f>
        <v>H</v>
      </c>
      <c r="W66" s="7" t="s">
        <v>0</v>
      </c>
      <c r="X66" s="16" t="str">
        <f>HYPERLINK("http://www.aruplab.com/Testing-Information/resources/HotLines/Sample_Reports/Oct2026QHL/2007737_P1 P1PK1 Antigen Typing Patient_P1 AG.pdf","E")</f>
        <v>E</v>
      </c>
      <c r="Y66" s="7" t="s">
        <v>0</v>
      </c>
      <c r="Z66" s="8">
        <v>46314</v>
      </c>
    </row>
    <row r="67" spans="1:26" ht="30" x14ac:dyDescent="0.25">
      <c r="A67" s="6" t="s">
        <v>206</v>
      </c>
      <c r="B67" s="6" t="s">
        <v>207</v>
      </c>
      <c r="C67" s="6" t="s">
        <v>208</v>
      </c>
      <c r="D67" s="7" t="s">
        <v>0</v>
      </c>
      <c r="E67" s="7" t="s">
        <v>0</v>
      </c>
      <c r="F67" s="7" t="s">
        <v>0</v>
      </c>
      <c r="G67" s="7" t="s">
        <v>0</v>
      </c>
      <c r="H67" s="7" t="s">
        <v>0</v>
      </c>
      <c r="I67" s="7" t="s">
        <v>0</v>
      </c>
      <c r="J67" s="7" t="s">
        <v>0</v>
      </c>
      <c r="K67" s="7" t="s">
        <v>0</v>
      </c>
      <c r="L67" s="7" t="s">
        <v>0</v>
      </c>
      <c r="M67" s="7" t="s">
        <v>0</v>
      </c>
      <c r="N67" s="7" t="s">
        <v>0</v>
      </c>
      <c r="O67" s="7" t="s">
        <v>0</v>
      </c>
      <c r="P67" s="7" t="s">
        <v>0</v>
      </c>
      <c r="Q67" s="7" t="s">
        <v>0</v>
      </c>
      <c r="R67" s="7" t="s">
        <v>0</v>
      </c>
      <c r="S67" s="7" t="s">
        <v>0</v>
      </c>
      <c r="T67" s="7" t="s">
        <v>34</v>
      </c>
      <c r="U67" s="7" t="s">
        <v>0</v>
      </c>
      <c r="V67" s="16" t="str">
        <f>HYPERLINK("http://www.aruplab.com/Testing-Information/resources/HotLines/HotLineDocs/Oct2026QHL/2026.09.04 Oct Quarterly Hotline Inactivations.pdf","H")</f>
        <v>H</v>
      </c>
      <c r="W67" s="7" t="s">
        <v>0</v>
      </c>
      <c r="X67" s="7" t="s">
        <v>0</v>
      </c>
      <c r="Y67" s="7" t="s">
        <v>0</v>
      </c>
      <c r="Z67" s="8">
        <v>46314</v>
      </c>
    </row>
    <row r="68" spans="1:26" ht="30" x14ac:dyDescent="0.25">
      <c r="A68" s="6" t="s">
        <v>209</v>
      </c>
      <c r="B68" s="6" t="s">
        <v>210</v>
      </c>
      <c r="C68" s="6" t="s">
        <v>211</v>
      </c>
      <c r="D68" s="7" t="s">
        <v>0</v>
      </c>
      <c r="E68" s="7" t="s">
        <v>0</v>
      </c>
      <c r="F68" s="7" t="s">
        <v>0</v>
      </c>
      <c r="G68" s="7" t="s">
        <v>0</v>
      </c>
      <c r="H68" s="7" t="s">
        <v>0</v>
      </c>
      <c r="I68" s="7" t="s">
        <v>0</v>
      </c>
      <c r="J68" s="7" t="s">
        <v>0</v>
      </c>
      <c r="K68" s="7" t="s">
        <v>0</v>
      </c>
      <c r="L68" s="7" t="s">
        <v>0</v>
      </c>
      <c r="M68" s="7" t="s">
        <v>0</v>
      </c>
      <c r="N68" s="7" t="s">
        <v>0</v>
      </c>
      <c r="O68" s="7" t="s">
        <v>0</v>
      </c>
      <c r="P68" s="7" t="s">
        <v>0</v>
      </c>
      <c r="Q68" s="7" t="s">
        <v>0</v>
      </c>
      <c r="R68" s="7" t="s">
        <v>0</v>
      </c>
      <c r="S68" s="7" t="s">
        <v>0</v>
      </c>
      <c r="T68" s="7" t="s">
        <v>34</v>
      </c>
      <c r="U68" s="7" t="s">
        <v>0</v>
      </c>
      <c r="V68" s="16" t="str">
        <f>HYPERLINK("http://www.aruplab.com/Testing-Information/resources/HotLines/HotLineDocs/Oct2026QHL/2026.09.04 Oct Quarterly Hotline Inactivations.pdf","H")</f>
        <v>H</v>
      </c>
      <c r="W68" s="7" t="s">
        <v>0</v>
      </c>
      <c r="X68" s="7" t="s">
        <v>0</v>
      </c>
      <c r="Y68" s="7" t="s">
        <v>0</v>
      </c>
      <c r="Z68" s="8">
        <v>46314</v>
      </c>
    </row>
    <row r="69" spans="1:26" ht="30" x14ac:dyDescent="0.25">
      <c r="A69" s="6" t="s">
        <v>212</v>
      </c>
      <c r="B69" s="6" t="s">
        <v>213</v>
      </c>
      <c r="C69" s="6" t="s">
        <v>214</v>
      </c>
      <c r="D69" s="7" t="s">
        <v>0</v>
      </c>
      <c r="E69" s="7" t="s">
        <v>0</v>
      </c>
      <c r="F69" s="7" t="s">
        <v>0</v>
      </c>
      <c r="G69" s="7" t="s">
        <v>0</v>
      </c>
      <c r="H69" s="7" t="s">
        <v>0</v>
      </c>
      <c r="I69" s="7" t="s">
        <v>0</v>
      </c>
      <c r="J69" s="7" t="s">
        <v>0</v>
      </c>
      <c r="K69" s="7" t="s">
        <v>0</v>
      </c>
      <c r="L69" s="7" t="s">
        <v>0</v>
      </c>
      <c r="M69" s="7" t="s">
        <v>0</v>
      </c>
      <c r="N69" s="7" t="s">
        <v>0</v>
      </c>
      <c r="O69" s="7" t="s">
        <v>0</v>
      </c>
      <c r="P69" s="7" t="s">
        <v>0</v>
      </c>
      <c r="Q69" s="7" t="s">
        <v>0</v>
      </c>
      <c r="R69" s="7" t="s">
        <v>0</v>
      </c>
      <c r="S69" s="7" t="s">
        <v>0</v>
      </c>
      <c r="T69" s="7" t="s">
        <v>34</v>
      </c>
      <c r="U69" s="7" t="s">
        <v>0</v>
      </c>
      <c r="V69" s="16" t="str">
        <f>HYPERLINK("http://www.aruplab.com/Testing-Information/resources/HotLines/HotLineDocs/Oct2026QHL/2026.09.04 Oct Quarterly Hotline Inactivations.pdf","H")</f>
        <v>H</v>
      </c>
      <c r="W69" s="7" t="s">
        <v>0</v>
      </c>
      <c r="X69" s="7" t="s">
        <v>0</v>
      </c>
      <c r="Y69" s="7" t="s">
        <v>0</v>
      </c>
      <c r="Z69" s="8">
        <v>46314</v>
      </c>
    </row>
    <row r="70" spans="1:26" ht="30" x14ac:dyDescent="0.25">
      <c r="A70" s="6" t="s">
        <v>215</v>
      </c>
      <c r="B70" s="6" t="s">
        <v>216</v>
      </c>
      <c r="C70" s="6" t="s">
        <v>217</v>
      </c>
      <c r="D70" s="7" t="s">
        <v>0</v>
      </c>
      <c r="E70" s="7" t="s">
        <v>0</v>
      </c>
      <c r="F70" s="7" t="s">
        <v>0</v>
      </c>
      <c r="G70" s="7" t="s">
        <v>0</v>
      </c>
      <c r="H70" s="7" t="s">
        <v>0</v>
      </c>
      <c r="I70" s="7" t="s">
        <v>0</v>
      </c>
      <c r="J70" s="7" t="s">
        <v>0</v>
      </c>
      <c r="K70" s="7" t="s">
        <v>0</v>
      </c>
      <c r="L70" s="7" t="s">
        <v>0</v>
      </c>
      <c r="M70" s="7" t="s">
        <v>0</v>
      </c>
      <c r="N70" s="7" t="s">
        <v>0</v>
      </c>
      <c r="O70" s="7" t="s">
        <v>0</v>
      </c>
      <c r="P70" s="7" t="s">
        <v>0</v>
      </c>
      <c r="Q70" s="7" t="s">
        <v>0</v>
      </c>
      <c r="R70" s="7" t="s">
        <v>0</v>
      </c>
      <c r="S70" s="7" t="s">
        <v>0</v>
      </c>
      <c r="T70" s="7" t="s">
        <v>34</v>
      </c>
      <c r="U70" s="7" t="s">
        <v>0</v>
      </c>
      <c r="V70" s="16" t="str">
        <f>HYPERLINK("http://www.aruplab.com/Testing-Information/resources/HotLines/HotLineDocs/Oct2026QHL/2026.09.04 Oct Quarterly Hotline Inactivations.pdf","H")</f>
        <v>H</v>
      </c>
      <c r="W70" s="7" t="s">
        <v>0</v>
      </c>
      <c r="X70" s="7" t="s">
        <v>0</v>
      </c>
      <c r="Y70" s="7" t="s">
        <v>0</v>
      </c>
      <c r="Z70" s="8">
        <v>46314</v>
      </c>
    </row>
    <row r="71" spans="1:26" ht="30" x14ac:dyDescent="0.25">
      <c r="A71" s="6" t="s">
        <v>218</v>
      </c>
      <c r="B71" s="6" t="s">
        <v>219</v>
      </c>
      <c r="C71" s="6" t="s">
        <v>220</v>
      </c>
      <c r="D71" s="7" t="s">
        <v>0</v>
      </c>
      <c r="E71" s="7" t="s">
        <v>0</v>
      </c>
      <c r="F71" s="7" t="s">
        <v>0</v>
      </c>
      <c r="G71" s="7" t="s">
        <v>0</v>
      </c>
      <c r="H71" s="7" t="s">
        <v>0</v>
      </c>
      <c r="I71" s="7" t="s">
        <v>0</v>
      </c>
      <c r="J71" s="7" t="s">
        <v>0</v>
      </c>
      <c r="K71" s="7" t="s">
        <v>0</v>
      </c>
      <c r="L71" s="7" t="s">
        <v>0</v>
      </c>
      <c r="M71" s="7" t="s">
        <v>0</v>
      </c>
      <c r="N71" s="7" t="s">
        <v>0</v>
      </c>
      <c r="O71" s="7" t="s">
        <v>0</v>
      </c>
      <c r="P71" s="7" t="s">
        <v>0</v>
      </c>
      <c r="Q71" s="7" t="s">
        <v>0</v>
      </c>
      <c r="R71" s="7" t="s">
        <v>0</v>
      </c>
      <c r="S71" s="7" t="s">
        <v>0</v>
      </c>
      <c r="T71" s="7" t="s">
        <v>34</v>
      </c>
      <c r="U71" s="7" t="s">
        <v>0</v>
      </c>
      <c r="V71" s="16" t="str">
        <f>HYPERLINK("http://www.aruplab.com/Testing-Information/resources/HotLines/HotLineDocs/Oct2026QHL/2026.09.04 Oct Quarterly Hotline Inactivations.pdf","H")</f>
        <v>H</v>
      </c>
      <c r="W71" s="7" t="s">
        <v>0</v>
      </c>
      <c r="X71" s="7" t="s">
        <v>0</v>
      </c>
      <c r="Y71" s="7" t="s">
        <v>0</v>
      </c>
      <c r="Z71" s="8">
        <v>46314</v>
      </c>
    </row>
    <row r="72" spans="1:26" ht="120" x14ac:dyDescent="0.25">
      <c r="A72" s="6" t="s">
        <v>221</v>
      </c>
      <c r="B72" s="6" t="s">
        <v>222</v>
      </c>
      <c r="C72" s="6" t="s">
        <v>223</v>
      </c>
      <c r="D72" s="7" t="s">
        <v>0</v>
      </c>
      <c r="E72" s="7" t="s">
        <v>0</v>
      </c>
      <c r="F72" s="7" t="s">
        <v>0</v>
      </c>
      <c r="G72" s="7" t="s">
        <v>0</v>
      </c>
      <c r="H72" s="7" t="s">
        <v>0</v>
      </c>
      <c r="I72" s="7" t="s">
        <v>0</v>
      </c>
      <c r="J72" s="7" t="s">
        <v>0</v>
      </c>
      <c r="K72" s="7" t="s">
        <v>0</v>
      </c>
      <c r="L72" s="7" t="s">
        <v>34</v>
      </c>
      <c r="M72" s="7" t="s">
        <v>0</v>
      </c>
      <c r="N72" s="7" t="s">
        <v>0</v>
      </c>
      <c r="O72" s="7" t="s">
        <v>0</v>
      </c>
      <c r="P72" s="7" t="s">
        <v>0</v>
      </c>
      <c r="Q72" s="7" t="s">
        <v>0</v>
      </c>
      <c r="R72" s="7" t="s">
        <v>0</v>
      </c>
      <c r="S72" s="7" t="s">
        <v>0</v>
      </c>
      <c r="T72" s="7" t="s">
        <v>0</v>
      </c>
      <c r="U72" s="7" t="s">
        <v>0</v>
      </c>
      <c r="V72" s="16" t="str">
        <f>HYPERLINK("http://www.aruplab.com/Testing-Information/resources/HotLines/HotLineDocs/Oct2026QHL/2009288.pdf","H")</f>
        <v>H</v>
      </c>
      <c r="W72" s="16" t="str">
        <f>HYPERLINK("http://www.aruplab.com/Testing-Information/resources/HotLines/TDMix/Oct2026QHL/2009288.xlsx","T")</f>
        <v>T</v>
      </c>
      <c r="X72" s="16" t="str">
        <f>HYPERLINK("http://www.aruplab.com/Testing-Information/resources/HotLines/Sample_Reports/Oct2026QHL/2009288_Drug Profile, Targeted with Interpretation by Tandem Mass Spectrometry and Enzyme Immunoassay, Urine_PAIN HYB 2.pdf","E")</f>
        <v>E</v>
      </c>
      <c r="Y72" s="7" t="s">
        <v>0</v>
      </c>
      <c r="Z72" s="8">
        <v>46314</v>
      </c>
    </row>
    <row r="73" spans="1:26" ht="60" x14ac:dyDescent="0.25">
      <c r="A73" s="6" t="s">
        <v>224</v>
      </c>
      <c r="B73" s="6" t="s">
        <v>225</v>
      </c>
      <c r="C73" s="6" t="s">
        <v>226</v>
      </c>
      <c r="D73" s="7" t="s">
        <v>0</v>
      </c>
      <c r="E73" s="7" t="s">
        <v>0</v>
      </c>
      <c r="F73" s="7" t="s">
        <v>34</v>
      </c>
      <c r="G73" s="7" t="s">
        <v>0</v>
      </c>
      <c r="H73" s="7" t="s">
        <v>0</v>
      </c>
      <c r="I73" s="7" t="s">
        <v>0</v>
      </c>
      <c r="J73" s="7" t="s">
        <v>0</v>
      </c>
      <c r="K73" s="7" t="s">
        <v>0</v>
      </c>
      <c r="L73" s="7" t="s">
        <v>0</v>
      </c>
      <c r="M73" s="7" t="s">
        <v>0</v>
      </c>
      <c r="N73" s="7" t="s">
        <v>0</v>
      </c>
      <c r="O73" s="7" t="s">
        <v>0</v>
      </c>
      <c r="P73" s="7" t="s">
        <v>0</v>
      </c>
      <c r="Q73" s="7" t="s">
        <v>0</v>
      </c>
      <c r="R73" s="7" t="s">
        <v>0</v>
      </c>
      <c r="S73" s="7" t="s">
        <v>0</v>
      </c>
      <c r="T73" s="7" t="s">
        <v>0</v>
      </c>
      <c r="U73" s="7" t="s">
        <v>0</v>
      </c>
      <c r="V73" s="16" t="str">
        <f>HYPERLINK("http://www.aruplab.com/Testing-Information/resources/HotLines/HotLineDocs/Oct2026QHL/2009318.pdf","H")</f>
        <v>H</v>
      </c>
      <c r="W73" s="7" t="s">
        <v>0</v>
      </c>
      <c r="X73" s="7" t="s">
        <v>0</v>
      </c>
      <c r="Y73" s="7" t="s">
        <v>0</v>
      </c>
      <c r="Z73" s="8">
        <v>46314</v>
      </c>
    </row>
    <row r="74" spans="1:26" ht="60" x14ac:dyDescent="0.25">
      <c r="A74" s="6" t="s">
        <v>227</v>
      </c>
      <c r="B74" s="6" t="s">
        <v>228</v>
      </c>
      <c r="C74" s="6" t="s">
        <v>229</v>
      </c>
      <c r="D74" s="7" t="s">
        <v>0</v>
      </c>
      <c r="E74" s="7" t="s">
        <v>0</v>
      </c>
      <c r="F74" s="7" t="s">
        <v>0</v>
      </c>
      <c r="G74" s="7" t="s">
        <v>0</v>
      </c>
      <c r="H74" s="7" t="s">
        <v>0</v>
      </c>
      <c r="I74" s="7" t="s">
        <v>0</v>
      </c>
      <c r="J74" s="7" t="s">
        <v>0</v>
      </c>
      <c r="K74" s="7" t="s">
        <v>0</v>
      </c>
      <c r="L74" s="7" t="s">
        <v>0</v>
      </c>
      <c r="M74" s="7" t="s">
        <v>0</v>
      </c>
      <c r="N74" s="7" t="s">
        <v>0</v>
      </c>
      <c r="O74" s="7" t="s">
        <v>0</v>
      </c>
      <c r="P74" s="7" t="s">
        <v>0</v>
      </c>
      <c r="Q74" s="7" t="s">
        <v>0</v>
      </c>
      <c r="R74" s="7" t="s">
        <v>0</v>
      </c>
      <c r="S74" s="7" t="s">
        <v>0</v>
      </c>
      <c r="T74" s="7" t="s">
        <v>34</v>
      </c>
      <c r="U74" s="7" t="s">
        <v>0</v>
      </c>
      <c r="V74" s="16" t="str">
        <f>HYPERLINK("http://www.aruplab.com/Testing-Information/resources/HotLines/HotLineDocs/Oct2026QHL/2026.09.04 Oct Quarterly Hotline Inactivations.pdf","H")</f>
        <v>H</v>
      </c>
      <c r="W74" s="7" t="s">
        <v>0</v>
      </c>
      <c r="X74" s="7" t="s">
        <v>0</v>
      </c>
      <c r="Y74" s="7" t="s">
        <v>0</v>
      </c>
      <c r="Z74" s="8">
        <v>46314</v>
      </c>
    </row>
    <row r="75" spans="1:26" ht="30" x14ac:dyDescent="0.25">
      <c r="A75" s="6" t="s">
        <v>230</v>
      </c>
      <c r="B75" s="6" t="s">
        <v>231</v>
      </c>
      <c r="C75" s="6" t="s">
        <v>232</v>
      </c>
      <c r="D75" s="7" t="s">
        <v>0</v>
      </c>
      <c r="E75" s="7" t="s">
        <v>0</v>
      </c>
      <c r="F75" s="7" t="s">
        <v>34</v>
      </c>
      <c r="G75" s="7" t="s">
        <v>0</v>
      </c>
      <c r="H75" s="7" t="s">
        <v>0</v>
      </c>
      <c r="I75" s="7" t="s">
        <v>0</v>
      </c>
      <c r="J75" s="7" t="s">
        <v>0</v>
      </c>
      <c r="K75" s="7" t="s">
        <v>0</v>
      </c>
      <c r="L75" s="7" t="s">
        <v>0</v>
      </c>
      <c r="M75" s="7" t="s">
        <v>0</v>
      </c>
      <c r="N75" s="7" t="s">
        <v>0</v>
      </c>
      <c r="O75" s="7" t="s">
        <v>0</v>
      </c>
      <c r="P75" s="7" t="s">
        <v>0</v>
      </c>
      <c r="Q75" s="7" t="s">
        <v>0</v>
      </c>
      <c r="R75" s="7" t="s">
        <v>0</v>
      </c>
      <c r="S75" s="7" t="s">
        <v>0</v>
      </c>
      <c r="T75" s="7" t="s">
        <v>0</v>
      </c>
      <c r="U75" s="7" t="s">
        <v>0</v>
      </c>
      <c r="V75" s="16" t="str">
        <f>HYPERLINK("http://www.aruplab.com/Testing-Information/resources/HotLines/HotLineDocs/Oct2026QHL/2010151.pdf","H")</f>
        <v>H</v>
      </c>
      <c r="W75" s="7" t="s">
        <v>0</v>
      </c>
      <c r="X75" s="7" t="s">
        <v>0</v>
      </c>
      <c r="Y75" s="7" t="s">
        <v>0</v>
      </c>
      <c r="Z75" s="8">
        <v>46314</v>
      </c>
    </row>
    <row r="76" spans="1:26" ht="45" x14ac:dyDescent="0.25">
      <c r="A76" s="6" t="s">
        <v>233</v>
      </c>
      <c r="B76" s="6" t="s">
        <v>234</v>
      </c>
      <c r="C76" s="6" t="s">
        <v>235</v>
      </c>
      <c r="D76" s="7" t="s">
        <v>0</v>
      </c>
      <c r="E76" s="7" t="s">
        <v>0</v>
      </c>
      <c r="F76" s="7" t="s">
        <v>34</v>
      </c>
      <c r="G76" s="7" t="s">
        <v>0</v>
      </c>
      <c r="H76" s="7" t="s">
        <v>0</v>
      </c>
      <c r="I76" s="7" t="s">
        <v>0</v>
      </c>
      <c r="J76" s="7" t="s">
        <v>0</v>
      </c>
      <c r="K76" s="7" t="s">
        <v>0</v>
      </c>
      <c r="L76" s="7" t="s">
        <v>0</v>
      </c>
      <c r="M76" s="7" t="s">
        <v>0</v>
      </c>
      <c r="N76" s="7" t="s">
        <v>0</v>
      </c>
      <c r="O76" s="7" t="s">
        <v>0</v>
      </c>
      <c r="P76" s="7" t="s">
        <v>0</v>
      </c>
      <c r="Q76" s="7" t="s">
        <v>0</v>
      </c>
      <c r="R76" s="7" t="s">
        <v>0</v>
      </c>
      <c r="S76" s="7" t="s">
        <v>0</v>
      </c>
      <c r="T76" s="7" t="s">
        <v>0</v>
      </c>
      <c r="U76" s="7" t="s">
        <v>0</v>
      </c>
      <c r="V76" s="16" t="str">
        <f>HYPERLINK("http://www.aruplab.com/Testing-Information/resources/HotLines/HotLineDocs/Oct2026QHL/2010156.pdf","H")</f>
        <v>H</v>
      </c>
      <c r="W76" s="7" t="s">
        <v>0</v>
      </c>
      <c r="X76" s="7" t="s">
        <v>0</v>
      </c>
      <c r="Y76" s="7" t="s">
        <v>0</v>
      </c>
      <c r="Z76" s="8">
        <v>46314</v>
      </c>
    </row>
    <row r="77" spans="1:26" ht="45" x14ac:dyDescent="0.25">
      <c r="A77" s="6" t="s">
        <v>236</v>
      </c>
      <c r="B77" s="6" t="s">
        <v>237</v>
      </c>
      <c r="C77" s="6" t="s">
        <v>238</v>
      </c>
      <c r="D77" s="7" t="s">
        <v>0</v>
      </c>
      <c r="E77" s="7" t="s">
        <v>0</v>
      </c>
      <c r="F77" s="7" t="s">
        <v>34</v>
      </c>
      <c r="G77" s="7" t="s">
        <v>0</v>
      </c>
      <c r="H77" s="7" t="s">
        <v>0</v>
      </c>
      <c r="I77" s="7" t="s">
        <v>0</v>
      </c>
      <c r="J77" s="7" t="s">
        <v>0</v>
      </c>
      <c r="K77" s="7" t="s">
        <v>0</v>
      </c>
      <c r="L77" s="7" t="s">
        <v>0</v>
      </c>
      <c r="M77" s="7" t="s">
        <v>0</v>
      </c>
      <c r="N77" s="7" t="s">
        <v>0</v>
      </c>
      <c r="O77" s="7" t="s">
        <v>0</v>
      </c>
      <c r="P77" s="7" t="s">
        <v>0</v>
      </c>
      <c r="Q77" s="7" t="s">
        <v>0</v>
      </c>
      <c r="R77" s="7" t="s">
        <v>0</v>
      </c>
      <c r="S77" s="7" t="s">
        <v>0</v>
      </c>
      <c r="T77" s="7" t="s">
        <v>0</v>
      </c>
      <c r="U77" s="7" t="s">
        <v>0</v>
      </c>
      <c r="V77" s="16" t="str">
        <f>HYPERLINK("http://www.aruplab.com/Testing-Information/resources/HotLines/HotLineDocs/Oct2026QHL/2010673.pdf","H")</f>
        <v>H</v>
      </c>
      <c r="W77" s="7" t="s">
        <v>0</v>
      </c>
      <c r="X77" s="7" t="s">
        <v>0</v>
      </c>
      <c r="Y77" s="7" t="s">
        <v>0</v>
      </c>
      <c r="Z77" s="8">
        <v>46314</v>
      </c>
    </row>
    <row r="78" spans="1:26" ht="75" x14ac:dyDescent="0.25">
      <c r="A78" s="6" t="s">
        <v>239</v>
      </c>
      <c r="B78" s="6" t="s">
        <v>240</v>
      </c>
      <c r="C78" s="6" t="s">
        <v>241</v>
      </c>
      <c r="D78" s="7" t="s">
        <v>0</v>
      </c>
      <c r="E78" s="7" t="s">
        <v>0</v>
      </c>
      <c r="F78" s="7" t="s">
        <v>34</v>
      </c>
      <c r="G78" s="7" t="s">
        <v>0</v>
      </c>
      <c r="H78" s="7" t="s">
        <v>0</v>
      </c>
      <c r="I78" s="7" t="s">
        <v>0</v>
      </c>
      <c r="J78" s="7" t="s">
        <v>0</v>
      </c>
      <c r="K78" s="7" t="s">
        <v>0</v>
      </c>
      <c r="L78" s="7" t="s">
        <v>0</v>
      </c>
      <c r="M78" s="7" t="s">
        <v>0</v>
      </c>
      <c r="N78" s="7" t="s">
        <v>0</v>
      </c>
      <c r="O78" s="7" t="s">
        <v>0</v>
      </c>
      <c r="P78" s="7" t="s">
        <v>0</v>
      </c>
      <c r="Q78" s="7" t="s">
        <v>0</v>
      </c>
      <c r="R78" s="7" t="s">
        <v>0</v>
      </c>
      <c r="S78" s="7" t="s">
        <v>0</v>
      </c>
      <c r="T78" s="7" t="s">
        <v>0</v>
      </c>
      <c r="U78" s="7" t="s">
        <v>0</v>
      </c>
      <c r="V78" s="16" t="str">
        <f>HYPERLINK("http://www.aruplab.com/Testing-Information/resources/HotLines/HotLineDocs/Oct2026QHL/2010775.pdf","H")</f>
        <v>H</v>
      </c>
      <c r="W78" s="7" t="s">
        <v>0</v>
      </c>
      <c r="X78" s="7" t="s">
        <v>0</v>
      </c>
      <c r="Y78" s="7" t="s">
        <v>0</v>
      </c>
      <c r="Z78" s="8">
        <v>46314</v>
      </c>
    </row>
    <row r="79" spans="1:26" ht="75" x14ac:dyDescent="0.25">
      <c r="A79" s="6" t="s">
        <v>242</v>
      </c>
      <c r="B79" s="6" t="s">
        <v>243</v>
      </c>
      <c r="C79" s="6" t="s">
        <v>244</v>
      </c>
      <c r="D79" s="7" t="s">
        <v>0</v>
      </c>
      <c r="E79" s="7" t="s">
        <v>0</v>
      </c>
      <c r="F79" s="7" t="s">
        <v>34</v>
      </c>
      <c r="G79" s="7" t="s">
        <v>0</v>
      </c>
      <c r="H79" s="7" t="s">
        <v>0</v>
      </c>
      <c r="I79" s="7" t="s">
        <v>0</v>
      </c>
      <c r="J79" s="7" t="s">
        <v>0</v>
      </c>
      <c r="K79" s="7" t="s">
        <v>0</v>
      </c>
      <c r="L79" s="7" t="s">
        <v>0</v>
      </c>
      <c r="M79" s="7" t="s">
        <v>0</v>
      </c>
      <c r="N79" s="7" t="s">
        <v>0</v>
      </c>
      <c r="O79" s="7" t="s">
        <v>0</v>
      </c>
      <c r="P79" s="7" t="s">
        <v>0</v>
      </c>
      <c r="Q79" s="7" t="s">
        <v>0</v>
      </c>
      <c r="R79" s="7" t="s">
        <v>0</v>
      </c>
      <c r="S79" s="7" t="s">
        <v>0</v>
      </c>
      <c r="T79" s="7" t="s">
        <v>0</v>
      </c>
      <c r="U79" s="7" t="s">
        <v>0</v>
      </c>
      <c r="V79" s="16" t="str">
        <f>HYPERLINK("http://www.aruplab.com/Testing-Information/resources/HotLines/HotLineDocs/Oct2026QHL/2010784.pdf","H")</f>
        <v>H</v>
      </c>
      <c r="W79" s="7" t="s">
        <v>0</v>
      </c>
      <c r="X79" s="7" t="s">
        <v>0</v>
      </c>
      <c r="Y79" s="7" t="s">
        <v>0</v>
      </c>
      <c r="Z79" s="8">
        <v>46314</v>
      </c>
    </row>
    <row r="80" spans="1:26" ht="45" x14ac:dyDescent="0.25">
      <c r="A80" s="6" t="s">
        <v>245</v>
      </c>
      <c r="B80" s="6" t="s">
        <v>246</v>
      </c>
      <c r="C80" s="6" t="s">
        <v>247</v>
      </c>
      <c r="D80" s="7" t="s">
        <v>0</v>
      </c>
      <c r="E80" s="7" t="s">
        <v>0</v>
      </c>
      <c r="F80" s="7" t="s">
        <v>0</v>
      </c>
      <c r="G80" s="7" t="s">
        <v>0</v>
      </c>
      <c r="H80" s="7" t="s">
        <v>0</v>
      </c>
      <c r="I80" s="7" t="s">
        <v>0</v>
      </c>
      <c r="J80" s="7" t="s">
        <v>0</v>
      </c>
      <c r="K80" s="7" t="s">
        <v>0</v>
      </c>
      <c r="L80" s="7" t="s">
        <v>0</v>
      </c>
      <c r="M80" s="7" t="s">
        <v>0</v>
      </c>
      <c r="N80" s="7" t="s">
        <v>0</v>
      </c>
      <c r="O80" s="7" t="s">
        <v>0</v>
      </c>
      <c r="P80" s="7" t="s">
        <v>0</v>
      </c>
      <c r="Q80" s="7" t="s">
        <v>0</v>
      </c>
      <c r="R80" s="7" t="s">
        <v>0</v>
      </c>
      <c r="S80" s="7" t="s">
        <v>34</v>
      </c>
      <c r="T80" s="7" t="s">
        <v>0</v>
      </c>
      <c r="U80" s="7" t="s">
        <v>0</v>
      </c>
      <c r="V80" s="16" t="str">
        <f>HYPERLINK("http://www.aruplab.com/Testing-Information/resources/HotLines/HotLineDocs/Oct2026QHL/2011075.pdf","H")</f>
        <v>H</v>
      </c>
      <c r="W80" s="7" t="s">
        <v>0</v>
      </c>
      <c r="X80" s="7" t="s">
        <v>0</v>
      </c>
      <c r="Y80" s="7" t="s">
        <v>0</v>
      </c>
      <c r="Z80" s="8">
        <v>46314</v>
      </c>
    </row>
    <row r="81" spans="1:26" ht="45" x14ac:dyDescent="0.25">
      <c r="A81" s="6" t="s">
        <v>248</v>
      </c>
      <c r="B81" s="6" t="s">
        <v>249</v>
      </c>
      <c r="C81" s="6" t="s">
        <v>250</v>
      </c>
      <c r="D81" s="7" t="s">
        <v>0</v>
      </c>
      <c r="E81" s="7" t="s">
        <v>0</v>
      </c>
      <c r="F81" s="7" t="s">
        <v>0</v>
      </c>
      <c r="G81" s="7" t="s">
        <v>0</v>
      </c>
      <c r="H81" s="7" t="s">
        <v>0</v>
      </c>
      <c r="I81" s="7" t="s">
        <v>0</v>
      </c>
      <c r="J81" s="7" t="s">
        <v>0</v>
      </c>
      <c r="K81" s="7" t="s">
        <v>0</v>
      </c>
      <c r="L81" s="7" t="s">
        <v>0</v>
      </c>
      <c r="M81" s="7" t="s">
        <v>0</v>
      </c>
      <c r="N81" s="7" t="s">
        <v>0</v>
      </c>
      <c r="O81" s="7" t="s">
        <v>0</v>
      </c>
      <c r="P81" s="7" t="s">
        <v>0</v>
      </c>
      <c r="Q81" s="7" t="s">
        <v>0</v>
      </c>
      <c r="R81" s="7" t="s">
        <v>0</v>
      </c>
      <c r="S81" s="7" t="s">
        <v>0</v>
      </c>
      <c r="T81" s="7" t="s">
        <v>34</v>
      </c>
      <c r="U81" s="7" t="s">
        <v>0</v>
      </c>
      <c r="V81" s="16" t="str">
        <f>HYPERLINK("http://www.aruplab.com/Testing-Information/resources/HotLines/HotLineDocs/Oct2026QHL/2026.09.04 Oct Quarterly Hotline Inactivations.pdf","H")</f>
        <v>H</v>
      </c>
      <c r="W81" s="7" t="s">
        <v>0</v>
      </c>
      <c r="X81" s="7" t="s">
        <v>0</v>
      </c>
      <c r="Y81" s="7" t="s">
        <v>0</v>
      </c>
      <c r="Z81" s="8">
        <v>46314</v>
      </c>
    </row>
    <row r="82" spans="1:26" ht="45" x14ac:dyDescent="0.25">
      <c r="A82" s="6" t="s">
        <v>251</v>
      </c>
      <c r="B82" s="6" t="s">
        <v>252</v>
      </c>
      <c r="C82" s="6" t="s">
        <v>253</v>
      </c>
      <c r="D82" s="7" t="s">
        <v>0</v>
      </c>
      <c r="E82" s="7" t="s">
        <v>0</v>
      </c>
      <c r="F82" s="7" t="s">
        <v>34</v>
      </c>
      <c r="G82" s="7" t="s">
        <v>0</v>
      </c>
      <c r="H82" s="7" t="s">
        <v>0</v>
      </c>
      <c r="I82" s="7" t="s">
        <v>0</v>
      </c>
      <c r="J82" s="7" t="s">
        <v>0</v>
      </c>
      <c r="K82" s="7" t="s">
        <v>0</v>
      </c>
      <c r="L82" s="7" t="s">
        <v>0</v>
      </c>
      <c r="M82" s="7" t="s">
        <v>0</v>
      </c>
      <c r="N82" s="7" t="s">
        <v>0</v>
      </c>
      <c r="O82" s="7" t="s">
        <v>0</v>
      </c>
      <c r="P82" s="7" t="s">
        <v>0</v>
      </c>
      <c r="Q82" s="7" t="s">
        <v>0</v>
      </c>
      <c r="R82" s="7" t="s">
        <v>0</v>
      </c>
      <c r="S82" s="7" t="s">
        <v>0</v>
      </c>
      <c r="T82" s="7" t="s">
        <v>0</v>
      </c>
      <c r="U82" s="7" t="s">
        <v>0</v>
      </c>
      <c r="V82" s="16" t="str">
        <f>HYPERLINK("http://www.aruplab.com/Testing-Information/resources/HotLines/HotLineDocs/Oct2026QHL/2012023.pdf","H")</f>
        <v>H</v>
      </c>
      <c r="W82" s="7" t="s">
        <v>0</v>
      </c>
      <c r="X82" s="7" t="s">
        <v>0</v>
      </c>
      <c r="Y82" s="7" t="s">
        <v>0</v>
      </c>
      <c r="Z82" s="8">
        <v>46314</v>
      </c>
    </row>
    <row r="83" spans="1:26" ht="45" x14ac:dyDescent="0.25">
      <c r="A83" s="6" t="s">
        <v>254</v>
      </c>
      <c r="B83" s="6" t="s">
        <v>255</v>
      </c>
      <c r="C83" s="6" t="s">
        <v>256</v>
      </c>
      <c r="D83" s="7" t="s">
        <v>0</v>
      </c>
      <c r="E83" s="7" t="s">
        <v>0</v>
      </c>
      <c r="F83" s="7" t="s">
        <v>34</v>
      </c>
      <c r="G83" s="7" t="s">
        <v>0</v>
      </c>
      <c r="H83" s="7" t="s">
        <v>0</v>
      </c>
      <c r="I83" s="7" t="s">
        <v>0</v>
      </c>
      <c r="J83" s="7" t="s">
        <v>0</v>
      </c>
      <c r="K83" s="7" t="s">
        <v>0</v>
      </c>
      <c r="L83" s="7" t="s">
        <v>0</v>
      </c>
      <c r="M83" s="7" t="s">
        <v>0</v>
      </c>
      <c r="N83" s="7" t="s">
        <v>0</v>
      </c>
      <c r="O83" s="7" t="s">
        <v>0</v>
      </c>
      <c r="P83" s="7" t="s">
        <v>0</v>
      </c>
      <c r="Q83" s="7" t="s">
        <v>0</v>
      </c>
      <c r="R83" s="7" t="s">
        <v>0</v>
      </c>
      <c r="S83" s="7" t="s">
        <v>0</v>
      </c>
      <c r="T83" s="7" t="s">
        <v>0</v>
      </c>
      <c r="U83" s="7" t="s">
        <v>0</v>
      </c>
      <c r="V83" s="16" t="str">
        <f>HYPERLINK("http://www.aruplab.com/Testing-Information/resources/HotLines/HotLineDocs/Oct2026QHL/2012141.pdf","H")</f>
        <v>H</v>
      </c>
      <c r="W83" s="7" t="s">
        <v>0</v>
      </c>
      <c r="X83" s="7" t="s">
        <v>0</v>
      </c>
      <c r="Y83" s="7" t="s">
        <v>0</v>
      </c>
      <c r="Z83" s="8">
        <v>46314</v>
      </c>
    </row>
    <row r="84" spans="1:26" ht="135" x14ac:dyDescent="0.25">
      <c r="A84" s="6" t="s">
        <v>257</v>
      </c>
      <c r="B84" s="6" t="s">
        <v>258</v>
      </c>
      <c r="C84" s="6" t="s">
        <v>259</v>
      </c>
      <c r="D84" s="7" t="s">
        <v>0</v>
      </c>
      <c r="E84" s="7" t="s">
        <v>0</v>
      </c>
      <c r="F84" s="7" t="s">
        <v>34</v>
      </c>
      <c r="G84" s="7" t="s">
        <v>0</v>
      </c>
      <c r="H84" s="7" t="s">
        <v>0</v>
      </c>
      <c r="I84" s="7" t="s">
        <v>0</v>
      </c>
      <c r="J84" s="7" t="s">
        <v>0</v>
      </c>
      <c r="K84" s="7" t="s">
        <v>0</v>
      </c>
      <c r="L84" s="7" t="s">
        <v>0</v>
      </c>
      <c r="M84" s="7" t="s">
        <v>0</v>
      </c>
      <c r="N84" s="7" t="s">
        <v>0</v>
      </c>
      <c r="O84" s="7" t="s">
        <v>0</v>
      </c>
      <c r="P84" s="7" t="s">
        <v>0</v>
      </c>
      <c r="Q84" s="7" t="s">
        <v>0</v>
      </c>
      <c r="R84" s="7" t="s">
        <v>0</v>
      </c>
      <c r="S84" s="7" t="s">
        <v>0</v>
      </c>
      <c r="T84" s="7" t="s">
        <v>0</v>
      </c>
      <c r="U84" s="7" t="s">
        <v>0</v>
      </c>
      <c r="V84" s="16" t="str">
        <f>HYPERLINK("http://www.aruplab.com/Testing-Information/resources/HotLines/HotLineDocs/Oct2026QHL/2013333.pdf","H")</f>
        <v>H</v>
      </c>
      <c r="W84" s="7" t="s">
        <v>0</v>
      </c>
      <c r="X84" s="7" t="s">
        <v>0</v>
      </c>
      <c r="Y84" s="7" t="s">
        <v>0</v>
      </c>
      <c r="Z84" s="8">
        <v>46314</v>
      </c>
    </row>
    <row r="85" spans="1:26" ht="30" x14ac:dyDescent="0.25">
      <c r="A85" s="6" t="s">
        <v>260</v>
      </c>
      <c r="B85" s="6" t="s">
        <v>261</v>
      </c>
      <c r="C85" s="6" t="s">
        <v>262</v>
      </c>
      <c r="D85" s="7" t="s">
        <v>0</v>
      </c>
      <c r="E85" s="7" t="s">
        <v>0</v>
      </c>
      <c r="F85" s="7" t="s">
        <v>0</v>
      </c>
      <c r="G85" s="7" t="s">
        <v>34</v>
      </c>
      <c r="H85" s="7" t="s">
        <v>0</v>
      </c>
      <c r="I85" s="7" t="s">
        <v>0</v>
      </c>
      <c r="J85" s="7" t="s">
        <v>0</v>
      </c>
      <c r="K85" s="7" t="s">
        <v>34</v>
      </c>
      <c r="L85" s="7" t="s">
        <v>0</v>
      </c>
      <c r="M85" s="7" t="s">
        <v>0</v>
      </c>
      <c r="N85" s="7" t="s">
        <v>0</v>
      </c>
      <c r="O85" s="7" t="s">
        <v>0</v>
      </c>
      <c r="P85" s="7" t="s">
        <v>0</v>
      </c>
      <c r="Q85" s="7" t="s">
        <v>0</v>
      </c>
      <c r="R85" s="7" t="s">
        <v>0</v>
      </c>
      <c r="S85" s="7" t="s">
        <v>0</v>
      </c>
      <c r="T85" s="7" t="s">
        <v>0</v>
      </c>
      <c r="U85" s="7" t="s">
        <v>0</v>
      </c>
      <c r="V85" s="16" t="str">
        <f>HYPERLINK("http://www.aruplab.com/Testing-Information/resources/HotLines/HotLineDocs/Oct2026QHL/2013502.pdf","H")</f>
        <v>H</v>
      </c>
      <c r="W85" s="7" t="s">
        <v>0</v>
      </c>
      <c r="X85" s="16" t="str">
        <f>HYPERLINK("http://www.aruplab.com/Testing-Information/resources/HotLines/Sample_Reports/Oct2026QHL/2013502_A1 Antigen Typing Patient_A1 AG.pdf","E")</f>
        <v>E</v>
      </c>
      <c r="Y85" s="7" t="s">
        <v>0</v>
      </c>
      <c r="Z85" s="8">
        <v>46314</v>
      </c>
    </row>
    <row r="86" spans="1:26" ht="30" x14ac:dyDescent="0.25">
      <c r="A86" s="6" t="s">
        <v>263</v>
      </c>
      <c r="B86" s="6" t="s">
        <v>264</v>
      </c>
      <c r="C86" s="6" t="s">
        <v>265</v>
      </c>
      <c r="D86" s="7" t="s">
        <v>0</v>
      </c>
      <c r="E86" s="7" t="s">
        <v>0</v>
      </c>
      <c r="F86" s="7" t="s">
        <v>0</v>
      </c>
      <c r="G86" s="7" t="s">
        <v>34</v>
      </c>
      <c r="H86" s="7" t="s">
        <v>0</v>
      </c>
      <c r="I86" s="7" t="s">
        <v>0</v>
      </c>
      <c r="J86" s="7" t="s">
        <v>0</v>
      </c>
      <c r="K86" s="7" t="s">
        <v>34</v>
      </c>
      <c r="L86" s="7" t="s">
        <v>0</v>
      </c>
      <c r="M86" s="7" t="s">
        <v>0</v>
      </c>
      <c r="N86" s="7" t="s">
        <v>0</v>
      </c>
      <c r="O86" s="7" t="s">
        <v>0</v>
      </c>
      <c r="P86" s="7" t="s">
        <v>0</v>
      </c>
      <c r="Q86" s="7" t="s">
        <v>0</v>
      </c>
      <c r="R86" s="7" t="s">
        <v>0</v>
      </c>
      <c r="S86" s="7" t="s">
        <v>0</v>
      </c>
      <c r="T86" s="7" t="s">
        <v>0</v>
      </c>
      <c r="U86" s="7" t="s">
        <v>0</v>
      </c>
      <c r="V86" s="16" t="str">
        <f>HYPERLINK("http://www.aruplab.com/Testing-Information/resources/HotLines/HotLineDocs/Oct2026QHL/2013504.pdf","H")</f>
        <v>H</v>
      </c>
      <c r="W86" s="7" t="s">
        <v>0</v>
      </c>
      <c r="X86" s="16" t="str">
        <f>HYPERLINK("http://www.aruplab.com/Testing-Information/resources/HotLines/Sample_Reports/Oct2026QHL/2013504_Cw Antigen Typing Patient_CW AG.pdf","E")</f>
        <v>E</v>
      </c>
      <c r="Y86" s="7" t="s">
        <v>0</v>
      </c>
      <c r="Z86" s="8">
        <v>46314</v>
      </c>
    </row>
    <row r="87" spans="1:26" ht="30" x14ac:dyDescent="0.25">
      <c r="A87" s="6" t="s">
        <v>266</v>
      </c>
      <c r="B87" s="6" t="s">
        <v>267</v>
      </c>
      <c r="C87" s="6" t="s">
        <v>268</v>
      </c>
      <c r="D87" s="7" t="s">
        <v>0</v>
      </c>
      <c r="E87" s="7" t="s">
        <v>0</v>
      </c>
      <c r="F87" s="7" t="s">
        <v>0</v>
      </c>
      <c r="G87" s="7" t="s">
        <v>34</v>
      </c>
      <c r="H87" s="7" t="s">
        <v>0</v>
      </c>
      <c r="I87" s="7" t="s">
        <v>0</v>
      </c>
      <c r="J87" s="7" t="s">
        <v>0</v>
      </c>
      <c r="K87" s="7" t="s">
        <v>34</v>
      </c>
      <c r="L87" s="7" t="s">
        <v>0</v>
      </c>
      <c r="M87" s="7" t="s">
        <v>0</v>
      </c>
      <c r="N87" s="7" t="s">
        <v>0</v>
      </c>
      <c r="O87" s="7" t="s">
        <v>0</v>
      </c>
      <c r="P87" s="7" t="s">
        <v>0</v>
      </c>
      <c r="Q87" s="7" t="s">
        <v>0</v>
      </c>
      <c r="R87" s="7" t="s">
        <v>0</v>
      </c>
      <c r="S87" s="7" t="s">
        <v>0</v>
      </c>
      <c r="T87" s="7" t="s">
        <v>0</v>
      </c>
      <c r="U87" s="7" t="s">
        <v>0</v>
      </c>
      <c r="V87" s="16" t="str">
        <f>HYPERLINK("http://www.aruplab.com/Testing-Information/resources/HotLines/HotLineDocs/Oct2026QHL/2013506.pdf","H")</f>
        <v>H</v>
      </c>
      <c r="W87" s="7" t="s">
        <v>0</v>
      </c>
      <c r="X87" s="16" t="str">
        <f>HYPERLINK("http://www.aruplab.com/Testing-Information/resources/HotLines/Sample_Reports/Oct2026QHL/2013506_Sd(a) Antigen Typing Patient_SDA AG.pdf","E")</f>
        <v>E</v>
      </c>
      <c r="Y87" s="7" t="s">
        <v>0</v>
      </c>
      <c r="Z87" s="8">
        <v>46314</v>
      </c>
    </row>
    <row r="88" spans="1:26" ht="30" x14ac:dyDescent="0.25">
      <c r="A88" s="6" t="s">
        <v>269</v>
      </c>
      <c r="B88" s="6" t="s">
        <v>270</v>
      </c>
      <c r="C88" s="6" t="s">
        <v>271</v>
      </c>
      <c r="D88" s="7" t="s">
        <v>0</v>
      </c>
      <c r="E88" s="7" t="s">
        <v>0</v>
      </c>
      <c r="F88" s="7" t="s">
        <v>0</v>
      </c>
      <c r="G88" s="7" t="s">
        <v>34</v>
      </c>
      <c r="H88" s="7" t="s">
        <v>0</v>
      </c>
      <c r="I88" s="7" t="s">
        <v>0</v>
      </c>
      <c r="J88" s="7" t="s">
        <v>0</v>
      </c>
      <c r="K88" s="7" t="s">
        <v>34</v>
      </c>
      <c r="L88" s="7" t="s">
        <v>0</v>
      </c>
      <c r="M88" s="7" t="s">
        <v>0</v>
      </c>
      <c r="N88" s="7" t="s">
        <v>0</v>
      </c>
      <c r="O88" s="7" t="s">
        <v>0</v>
      </c>
      <c r="P88" s="7" t="s">
        <v>0</v>
      </c>
      <c r="Q88" s="7" t="s">
        <v>0</v>
      </c>
      <c r="R88" s="7" t="s">
        <v>0</v>
      </c>
      <c r="S88" s="7" t="s">
        <v>0</v>
      </c>
      <c r="T88" s="7" t="s">
        <v>0</v>
      </c>
      <c r="U88" s="7" t="s">
        <v>0</v>
      </c>
      <c r="V88" s="16" t="str">
        <f>HYPERLINK("http://www.aruplab.com/Testing-Information/resources/HotLines/HotLineDocs/Oct2026QHL/2013508.pdf","H")</f>
        <v>H</v>
      </c>
      <c r="W88" s="7" t="s">
        <v>0</v>
      </c>
      <c r="X88" s="16" t="str">
        <f>HYPERLINK("http://www.aruplab.com/Testing-Information/resources/HotLines/Sample_Reports/Oct2026QHL/2013508_Wr(a) Antigen Typing Patient_WRA AG.pdf","E")</f>
        <v>E</v>
      </c>
      <c r="Y88" s="7" t="s">
        <v>0</v>
      </c>
      <c r="Z88" s="8">
        <v>46314</v>
      </c>
    </row>
    <row r="89" spans="1:26" ht="30" x14ac:dyDescent="0.25">
      <c r="A89" s="6" t="s">
        <v>272</v>
      </c>
      <c r="B89" s="6" t="s">
        <v>273</v>
      </c>
      <c r="C89" s="6" t="s">
        <v>274</v>
      </c>
      <c r="D89" s="7" t="s">
        <v>0</v>
      </c>
      <c r="E89" s="7" t="s">
        <v>34</v>
      </c>
      <c r="F89" s="7" t="s">
        <v>0</v>
      </c>
      <c r="G89" s="7" t="s">
        <v>34</v>
      </c>
      <c r="H89" s="7" t="s">
        <v>0</v>
      </c>
      <c r="I89" s="7" t="s">
        <v>0</v>
      </c>
      <c r="J89" s="7" t="s">
        <v>0</v>
      </c>
      <c r="K89" s="7" t="s">
        <v>34</v>
      </c>
      <c r="L89" s="7" t="s">
        <v>0</v>
      </c>
      <c r="M89" s="7" t="s">
        <v>0</v>
      </c>
      <c r="N89" s="7" t="s">
        <v>0</v>
      </c>
      <c r="O89" s="7" t="s">
        <v>0</v>
      </c>
      <c r="P89" s="7" t="s">
        <v>0</v>
      </c>
      <c r="Q89" s="7" t="s">
        <v>0</v>
      </c>
      <c r="R89" s="7" t="s">
        <v>0</v>
      </c>
      <c r="S89" s="7" t="s">
        <v>0</v>
      </c>
      <c r="T89" s="7" t="s">
        <v>0</v>
      </c>
      <c r="U89" s="7" t="s">
        <v>0</v>
      </c>
      <c r="V89" s="16" t="str">
        <f>HYPERLINK("http://www.aruplab.com/Testing-Information/resources/HotLines/HotLineDocs/Oct2026QHL/2013690.pdf","H")</f>
        <v>H</v>
      </c>
      <c r="W89" s="7" t="s">
        <v>0</v>
      </c>
      <c r="X89" s="16" t="str">
        <f>HYPERLINK("http://www.aruplab.com/Testing-Information/resources/HotLines/Sample_Reports/Oct2026QHL/2013690_Kp(a) Pt Antigen Typing IRL_P-KPA_IRL.pdf","E")</f>
        <v>E</v>
      </c>
      <c r="Y89" s="7" t="s">
        <v>0</v>
      </c>
      <c r="Z89" s="8">
        <v>46314</v>
      </c>
    </row>
    <row r="90" spans="1:26" ht="60" x14ac:dyDescent="0.25">
      <c r="A90" s="6" t="s">
        <v>275</v>
      </c>
      <c r="B90" s="6" t="s">
        <v>276</v>
      </c>
      <c r="C90" s="6" t="s">
        <v>277</v>
      </c>
      <c r="D90" s="7" t="s">
        <v>0</v>
      </c>
      <c r="E90" s="7" t="s">
        <v>0</v>
      </c>
      <c r="F90" s="7" t="s">
        <v>34</v>
      </c>
      <c r="G90" s="7" t="s">
        <v>0</v>
      </c>
      <c r="H90" s="7" t="s">
        <v>0</v>
      </c>
      <c r="I90" s="7" t="s">
        <v>0</v>
      </c>
      <c r="J90" s="7" t="s">
        <v>34</v>
      </c>
      <c r="K90" s="7" t="s">
        <v>0</v>
      </c>
      <c r="L90" s="7" t="s">
        <v>0</v>
      </c>
      <c r="M90" s="7" t="s">
        <v>0</v>
      </c>
      <c r="N90" s="7" t="s">
        <v>0</v>
      </c>
      <c r="O90" s="7" t="s">
        <v>0</v>
      </c>
      <c r="P90" s="7" t="s">
        <v>0</v>
      </c>
      <c r="Q90" s="7" t="s">
        <v>0</v>
      </c>
      <c r="R90" s="7" t="s">
        <v>0</v>
      </c>
      <c r="S90" s="7" t="s">
        <v>0</v>
      </c>
      <c r="T90" s="7" t="s">
        <v>0</v>
      </c>
      <c r="U90" s="7" t="s">
        <v>0</v>
      </c>
      <c r="V90" s="16" t="str">
        <f>HYPERLINK("http://www.aruplab.com/Testing-Information/resources/HotLines/HotLineDocs/Oct2026QHL/2014285.pdf","H")</f>
        <v>H</v>
      </c>
      <c r="W90" s="7" t="s">
        <v>0</v>
      </c>
      <c r="X90" s="7" t="s">
        <v>0</v>
      </c>
      <c r="Y90" s="7" t="s">
        <v>0</v>
      </c>
      <c r="Z90" s="8">
        <v>46314</v>
      </c>
    </row>
    <row r="91" spans="1:26" ht="45" x14ac:dyDescent="0.25">
      <c r="A91" s="6" t="s">
        <v>278</v>
      </c>
      <c r="B91" s="6" t="s">
        <v>279</v>
      </c>
      <c r="C91" s="6" t="s">
        <v>280</v>
      </c>
      <c r="D91" s="7" t="s">
        <v>0</v>
      </c>
      <c r="E91" s="7" t="s">
        <v>0</v>
      </c>
      <c r="F91" s="7" t="s">
        <v>34</v>
      </c>
      <c r="G91" s="7" t="s">
        <v>0</v>
      </c>
      <c r="H91" s="7" t="s">
        <v>0</v>
      </c>
      <c r="I91" s="7" t="s">
        <v>0</v>
      </c>
      <c r="J91" s="7" t="s">
        <v>0</v>
      </c>
      <c r="K91" s="7" t="s">
        <v>0</v>
      </c>
      <c r="L91" s="7" t="s">
        <v>0</v>
      </c>
      <c r="M91" s="7" t="s">
        <v>0</v>
      </c>
      <c r="N91" s="7" t="s">
        <v>0</v>
      </c>
      <c r="O91" s="7" t="s">
        <v>0</v>
      </c>
      <c r="P91" s="7" t="s">
        <v>0</v>
      </c>
      <c r="Q91" s="7" t="s">
        <v>0</v>
      </c>
      <c r="R91" s="7" t="s">
        <v>0</v>
      </c>
      <c r="S91" s="7" t="s">
        <v>0</v>
      </c>
      <c r="T91" s="7" t="s">
        <v>0</v>
      </c>
      <c r="U91" s="7" t="s">
        <v>0</v>
      </c>
      <c r="V91" s="16" t="str">
        <f>HYPERLINK("http://www.aruplab.com/Testing-Information/resources/HotLines/HotLineDocs/Oct2026QHL/3000066.pdf","H")</f>
        <v>H</v>
      </c>
      <c r="W91" s="7" t="s">
        <v>0</v>
      </c>
      <c r="X91" s="7" t="s">
        <v>0</v>
      </c>
      <c r="Y91" s="7" t="s">
        <v>0</v>
      </c>
      <c r="Z91" s="8">
        <v>46314</v>
      </c>
    </row>
    <row r="92" spans="1:26" ht="30" x14ac:dyDescent="0.25">
      <c r="A92" s="6" t="s">
        <v>281</v>
      </c>
      <c r="B92" s="6" t="s">
        <v>282</v>
      </c>
      <c r="C92" s="6" t="s">
        <v>283</v>
      </c>
      <c r="D92" s="7" t="s">
        <v>0</v>
      </c>
      <c r="E92" s="7" t="s">
        <v>0</v>
      </c>
      <c r="F92" s="7" t="s">
        <v>34</v>
      </c>
      <c r="G92" s="7" t="s">
        <v>0</v>
      </c>
      <c r="H92" s="7" t="s">
        <v>0</v>
      </c>
      <c r="I92" s="7" t="s">
        <v>0</v>
      </c>
      <c r="J92" s="7" t="s">
        <v>0</v>
      </c>
      <c r="K92" s="7" t="s">
        <v>0</v>
      </c>
      <c r="L92" s="7" t="s">
        <v>0</v>
      </c>
      <c r="M92" s="7" t="s">
        <v>0</v>
      </c>
      <c r="N92" s="7" t="s">
        <v>0</v>
      </c>
      <c r="O92" s="7" t="s">
        <v>0</v>
      </c>
      <c r="P92" s="7" t="s">
        <v>0</v>
      </c>
      <c r="Q92" s="7" t="s">
        <v>0</v>
      </c>
      <c r="R92" s="7" t="s">
        <v>0</v>
      </c>
      <c r="S92" s="7" t="s">
        <v>0</v>
      </c>
      <c r="T92" s="7" t="s">
        <v>0</v>
      </c>
      <c r="U92" s="7" t="s">
        <v>0</v>
      </c>
      <c r="V92" s="16" t="str">
        <f>HYPERLINK("http://www.aruplab.com/Testing-Information/resources/HotLines/HotLineDocs/Oct2026QHL/3001161.pdf","H")</f>
        <v>H</v>
      </c>
      <c r="W92" s="7" t="s">
        <v>0</v>
      </c>
      <c r="X92" s="7" t="s">
        <v>0</v>
      </c>
      <c r="Y92" s="7" t="s">
        <v>0</v>
      </c>
      <c r="Z92" s="8">
        <v>46314</v>
      </c>
    </row>
    <row r="93" spans="1:26" ht="30" x14ac:dyDescent="0.25">
      <c r="A93" s="6" t="s">
        <v>284</v>
      </c>
      <c r="B93" s="6" t="s">
        <v>285</v>
      </c>
      <c r="C93" s="6" t="s">
        <v>286</v>
      </c>
      <c r="D93" s="7" t="s">
        <v>0</v>
      </c>
      <c r="E93" s="7" t="s">
        <v>0</v>
      </c>
      <c r="F93" s="7" t="s">
        <v>34</v>
      </c>
      <c r="G93" s="7" t="s">
        <v>0</v>
      </c>
      <c r="H93" s="7" t="s">
        <v>0</v>
      </c>
      <c r="I93" s="7" t="s">
        <v>0</v>
      </c>
      <c r="J93" s="7" t="s">
        <v>0</v>
      </c>
      <c r="K93" s="7" t="s">
        <v>0</v>
      </c>
      <c r="L93" s="7" t="s">
        <v>0</v>
      </c>
      <c r="M93" s="7" t="s">
        <v>0</v>
      </c>
      <c r="N93" s="7" t="s">
        <v>0</v>
      </c>
      <c r="O93" s="7" t="s">
        <v>0</v>
      </c>
      <c r="P93" s="7" t="s">
        <v>0</v>
      </c>
      <c r="Q93" s="7" t="s">
        <v>0</v>
      </c>
      <c r="R93" s="7" t="s">
        <v>0</v>
      </c>
      <c r="S93" s="7" t="s">
        <v>0</v>
      </c>
      <c r="T93" s="7" t="s">
        <v>0</v>
      </c>
      <c r="U93" s="7" t="s">
        <v>0</v>
      </c>
      <c r="V93" s="16" t="str">
        <f>HYPERLINK("http://www.aruplab.com/Testing-Information/resources/HotLines/HotLineDocs/Oct2026QHL/3002601.pdf","H")</f>
        <v>H</v>
      </c>
      <c r="W93" s="7" t="s">
        <v>0</v>
      </c>
      <c r="X93" s="7" t="s">
        <v>0</v>
      </c>
      <c r="Y93" s="7" t="s">
        <v>0</v>
      </c>
      <c r="Z93" s="8">
        <v>46314</v>
      </c>
    </row>
    <row r="94" spans="1:26" ht="30" x14ac:dyDescent="0.25">
      <c r="A94" s="6" t="s">
        <v>287</v>
      </c>
      <c r="B94" s="6" t="s">
        <v>288</v>
      </c>
      <c r="C94" s="6" t="s">
        <v>289</v>
      </c>
      <c r="D94" s="7" t="s">
        <v>0</v>
      </c>
      <c r="E94" s="7" t="s">
        <v>0</v>
      </c>
      <c r="F94" s="7" t="s">
        <v>34</v>
      </c>
      <c r="G94" s="7" t="s">
        <v>0</v>
      </c>
      <c r="H94" s="7" t="s">
        <v>0</v>
      </c>
      <c r="I94" s="7" t="s">
        <v>0</v>
      </c>
      <c r="J94" s="7" t="s">
        <v>0</v>
      </c>
      <c r="K94" s="7" t="s">
        <v>0</v>
      </c>
      <c r="L94" s="7" t="s">
        <v>0</v>
      </c>
      <c r="M94" s="7" t="s">
        <v>0</v>
      </c>
      <c r="N94" s="7" t="s">
        <v>0</v>
      </c>
      <c r="O94" s="7" t="s">
        <v>0</v>
      </c>
      <c r="P94" s="7" t="s">
        <v>0</v>
      </c>
      <c r="Q94" s="7" t="s">
        <v>0</v>
      </c>
      <c r="R94" s="7" t="s">
        <v>0</v>
      </c>
      <c r="S94" s="7" t="s">
        <v>0</v>
      </c>
      <c r="T94" s="7" t="s">
        <v>0</v>
      </c>
      <c r="U94" s="7" t="s">
        <v>0</v>
      </c>
      <c r="V94" s="16" t="str">
        <f>HYPERLINK("http://www.aruplab.com/Testing-Information/resources/HotLines/HotLineDocs/Oct2026QHL/3002616.pdf","H")</f>
        <v>H</v>
      </c>
      <c r="W94" s="7" t="s">
        <v>0</v>
      </c>
      <c r="X94" s="7" t="s">
        <v>0</v>
      </c>
      <c r="Y94" s="7" t="s">
        <v>0</v>
      </c>
      <c r="Z94" s="8">
        <v>46314</v>
      </c>
    </row>
    <row r="95" spans="1:26" ht="30" x14ac:dyDescent="0.25">
      <c r="A95" s="6" t="s">
        <v>290</v>
      </c>
      <c r="B95" s="6" t="s">
        <v>291</v>
      </c>
      <c r="C95" s="6" t="s">
        <v>292</v>
      </c>
      <c r="D95" s="7" t="s">
        <v>0</v>
      </c>
      <c r="E95" s="7" t="s">
        <v>0</v>
      </c>
      <c r="F95" s="7" t="s">
        <v>34</v>
      </c>
      <c r="G95" s="7" t="s">
        <v>0</v>
      </c>
      <c r="H95" s="7" t="s">
        <v>0</v>
      </c>
      <c r="I95" s="7" t="s">
        <v>0</v>
      </c>
      <c r="J95" s="7" t="s">
        <v>0</v>
      </c>
      <c r="K95" s="7" t="s">
        <v>0</v>
      </c>
      <c r="L95" s="7" t="s">
        <v>0</v>
      </c>
      <c r="M95" s="7" t="s">
        <v>0</v>
      </c>
      <c r="N95" s="7" t="s">
        <v>0</v>
      </c>
      <c r="O95" s="7" t="s">
        <v>0</v>
      </c>
      <c r="P95" s="7" t="s">
        <v>0</v>
      </c>
      <c r="Q95" s="7" t="s">
        <v>0</v>
      </c>
      <c r="R95" s="7" t="s">
        <v>0</v>
      </c>
      <c r="S95" s="7" t="s">
        <v>0</v>
      </c>
      <c r="T95" s="7" t="s">
        <v>0</v>
      </c>
      <c r="U95" s="7" t="s">
        <v>0</v>
      </c>
      <c r="V95" s="16" t="str">
        <f>HYPERLINK("http://www.aruplab.com/Testing-Information/resources/HotLines/HotLineDocs/Oct2026QHL/3002617.pdf","H")</f>
        <v>H</v>
      </c>
      <c r="W95" s="7" t="s">
        <v>0</v>
      </c>
      <c r="X95" s="7" t="s">
        <v>0</v>
      </c>
      <c r="Y95" s="7" t="s">
        <v>0</v>
      </c>
      <c r="Z95" s="8">
        <v>46314</v>
      </c>
    </row>
    <row r="96" spans="1:26" ht="45" x14ac:dyDescent="0.25">
      <c r="A96" s="6" t="s">
        <v>293</v>
      </c>
      <c r="B96" s="6" t="s">
        <v>294</v>
      </c>
      <c r="C96" s="6" t="s">
        <v>295</v>
      </c>
      <c r="D96" s="7" t="s">
        <v>0</v>
      </c>
      <c r="E96" s="7" t="s">
        <v>0</v>
      </c>
      <c r="F96" s="7" t="s">
        <v>34</v>
      </c>
      <c r="G96" s="7" t="s">
        <v>0</v>
      </c>
      <c r="H96" s="7" t="s">
        <v>0</v>
      </c>
      <c r="I96" s="7" t="s">
        <v>0</v>
      </c>
      <c r="J96" s="7" t="s">
        <v>0</v>
      </c>
      <c r="K96" s="7" t="s">
        <v>0</v>
      </c>
      <c r="L96" s="7" t="s">
        <v>0</v>
      </c>
      <c r="M96" s="7" t="s">
        <v>0</v>
      </c>
      <c r="N96" s="7" t="s">
        <v>0</v>
      </c>
      <c r="O96" s="7" t="s">
        <v>0</v>
      </c>
      <c r="P96" s="7" t="s">
        <v>0</v>
      </c>
      <c r="Q96" s="7" t="s">
        <v>0</v>
      </c>
      <c r="R96" s="7" t="s">
        <v>0</v>
      </c>
      <c r="S96" s="7" t="s">
        <v>0</v>
      </c>
      <c r="T96" s="7" t="s">
        <v>0</v>
      </c>
      <c r="U96" s="7" t="s">
        <v>0</v>
      </c>
      <c r="V96" s="16" t="str">
        <f>HYPERLINK("http://www.aruplab.com/Testing-Information/resources/HotLines/HotLineDocs/Oct2026QHL/3002618.pdf","H")</f>
        <v>H</v>
      </c>
      <c r="W96" s="7" t="s">
        <v>0</v>
      </c>
      <c r="X96" s="7" t="s">
        <v>0</v>
      </c>
      <c r="Y96" s="7" t="s">
        <v>0</v>
      </c>
      <c r="Z96" s="8">
        <v>46314</v>
      </c>
    </row>
    <row r="97" spans="1:26" ht="30" x14ac:dyDescent="0.25">
      <c r="A97" s="6" t="s">
        <v>296</v>
      </c>
      <c r="B97" s="6" t="s">
        <v>297</v>
      </c>
      <c r="C97" s="6" t="s">
        <v>298</v>
      </c>
      <c r="D97" s="7" t="s">
        <v>0</v>
      </c>
      <c r="E97" s="7" t="s">
        <v>0</v>
      </c>
      <c r="F97" s="7" t="s">
        <v>34</v>
      </c>
      <c r="G97" s="7" t="s">
        <v>0</v>
      </c>
      <c r="H97" s="7" t="s">
        <v>0</v>
      </c>
      <c r="I97" s="7" t="s">
        <v>0</v>
      </c>
      <c r="J97" s="7" t="s">
        <v>0</v>
      </c>
      <c r="K97" s="7" t="s">
        <v>0</v>
      </c>
      <c r="L97" s="7" t="s">
        <v>0</v>
      </c>
      <c r="M97" s="7" t="s">
        <v>0</v>
      </c>
      <c r="N97" s="7" t="s">
        <v>0</v>
      </c>
      <c r="O97" s="7" t="s">
        <v>0</v>
      </c>
      <c r="P97" s="7" t="s">
        <v>0</v>
      </c>
      <c r="Q97" s="7" t="s">
        <v>0</v>
      </c>
      <c r="R97" s="7" t="s">
        <v>0</v>
      </c>
      <c r="S97" s="7" t="s">
        <v>0</v>
      </c>
      <c r="T97" s="7" t="s">
        <v>0</v>
      </c>
      <c r="U97" s="7" t="s">
        <v>0</v>
      </c>
      <c r="V97" s="16" t="str">
        <f>HYPERLINK("http://www.aruplab.com/Testing-Information/resources/HotLines/HotLineDocs/Oct2026QHL/3002619.pdf","H")</f>
        <v>H</v>
      </c>
      <c r="W97" s="7" t="s">
        <v>0</v>
      </c>
      <c r="X97" s="7" t="s">
        <v>0</v>
      </c>
      <c r="Y97" s="7" t="s">
        <v>0</v>
      </c>
      <c r="Z97" s="8">
        <v>46314</v>
      </c>
    </row>
    <row r="98" spans="1:26" ht="30" x14ac:dyDescent="0.25">
      <c r="A98" s="6" t="s">
        <v>299</v>
      </c>
      <c r="B98" s="6" t="s">
        <v>300</v>
      </c>
      <c r="C98" s="6" t="s">
        <v>301</v>
      </c>
      <c r="D98" s="7" t="s">
        <v>0</v>
      </c>
      <c r="E98" s="7" t="s">
        <v>0</v>
      </c>
      <c r="F98" s="7" t="s">
        <v>34</v>
      </c>
      <c r="G98" s="7" t="s">
        <v>0</v>
      </c>
      <c r="H98" s="7" t="s">
        <v>0</v>
      </c>
      <c r="I98" s="7" t="s">
        <v>0</v>
      </c>
      <c r="J98" s="7" t="s">
        <v>0</v>
      </c>
      <c r="K98" s="7" t="s">
        <v>0</v>
      </c>
      <c r="L98" s="7" t="s">
        <v>0</v>
      </c>
      <c r="M98" s="7" t="s">
        <v>0</v>
      </c>
      <c r="N98" s="7" t="s">
        <v>0</v>
      </c>
      <c r="O98" s="7" t="s">
        <v>0</v>
      </c>
      <c r="P98" s="7" t="s">
        <v>0</v>
      </c>
      <c r="Q98" s="7" t="s">
        <v>0</v>
      </c>
      <c r="R98" s="7" t="s">
        <v>0</v>
      </c>
      <c r="S98" s="7" t="s">
        <v>0</v>
      </c>
      <c r="T98" s="7" t="s">
        <v>0</v>
      </c>
      <c r="U98" s="7" t="s">
        <v>0</v>
      </c>
      <c r="V98" s="16" t="str">
        <f>HYPERLINK("http://www.aruplab.com/Testing-Information/resources/HotLines/HotLineDocs/Oct2026QHL/3002620.pdf","H")</f>
        <v>H</v>
      </c>
      <c r="W98" s="7" t="s">
        <v>0</v>
      </c>
      <c r="X98" s="7" t="s">
        <v>0</v>
      </c>
      <c r="Y98" s="7" t="s">
        <v>0</v>
      </c>
      <c r="Z98" s="8">
        <v>46314</v>
      </c>
    </row>
    <row r="99" spans="1:26" ht="30" x14ac:dyDescent="0.25">
      <c r="A99" s="6" t="s">
        <v>302</v>
      </c>
      <c r="B99" s="6" t="s">
        <v>303</v>
      </c>
      <c r="C99" s="6" t="s">
        <v>304</v>
      </c>
      <c r="D99" s="7" t="s">
        <v>0</v>
      </c>
      <c r="E99" s="7" t="s">
        <v>0</v>
      </c>
      <c r="F99" s="7" t="s">
        <v>34</v>
      </c>
      <c r="G99" s="7" t="s">
        <v>0</v>
      </c>
      <c r="H99" s="7" t="s">
        <v>0</v>
      </c>
      <c r="I99" s="7" t="s">
        <v>0</v>
      </c>
      <c r="J99" s="7" t="s">
        <v>0</v>
      </c>
      <c r="K99" s="7" t="s">
        <v>0</v>
      </c>
      <c r="L99" s="7" t="s">
        <v>0</v>
      </c>
      <c r="M99" s="7" t="s">
        <v>0</v>
      </c>
      <c r="N99" s="7" t="s">
        <v>0</v>
      </c>
      <c r="O99" s="7" t="s">
        <v>0</v>
      </c>
      <c r="P99" s="7" t="s">
        <v>0</v>
      </c>
      <c r="Q99" s="7" t="s">
        <v>0</v>
      </c>
      <c r="R99" s="7" t="s">
        <v>0</v>
      </c>
      <c r="S99" s="7" t="s">
        <v>0</v>
      </c>
      <c r="T99" s="7" t="s">
        <v>0</v>
      </c>
      <c r="U99" s="7" t="s">
        <v>0</v>
      </c>
      <c r="V99" s="16" t="str">
        <f>HYPERLINK("http://www.aruplab.com/Testing-Information/resources/HotLines/HotLineDocs/Oct2026QHL/3002621.pdf","H")</f>
        <v>H</v>
      </c>
      <c r="W99" s="7" t="s">
        <v>0</v>
      </c>
      <c r="X99" s="7" t="s">
        <v>0</v>
      </c>
      <c r="Y99" s="7" t="s">
        <v>0</v>
      </c>
      <c r="Z99" s="8">
        <v>46314</v>
      </c>
    </row>
    <row r="100" spans="1:26" ht="30" x14ac:dyDescent="0.25">
      <c r="A100" s="6" t="s">
        <v>305</v>
      </c>
      <c r="B100" s="6" t="s">
        <v>306</v>
      </c>
      <c r="C100" s="6" t="s">
        <v>307</v>
      </c>
      <c r="D100" s="7" t="s">
        <v>0</v>
      </c>
      <c r="E100" s="7" t="s">
        <v>0</v>
      </c>
      <c r="F100" s="7" t="s">
        <v>34</v>
      </c>
      <c r="G100" s="7" t="s">
        <v>0</v>
      </c>
      <c r="H100" s="7" t="s">
        <v>0</v>
      </c>
      <c r="I100" s="7" t="s">
        <v>0</v>
      </c>
      <c r="J100" s="7" t="s">
        <v>0</v>
      </c>
      <c r="K100" s="7" t="s">
        <v>0</v>
      </c>
      <c r="L100" s="7" t="s">
        <v>0</v>
      </c>
      <c r="M100" s="7" t="s">
        <v>0</v>
      </c>
      <c r="N100" s="7" t="s">
        <v>0</v>
      </c>
      <c r="O100" s="7" t="s">
        <v>0</v>
      </c>
      <c r="P100" s="7" t="s">
        <v>0</v>
      </c>
      <c r="Q100" s="7" t="s">
        <v>0</v>
      </c>
      <c r="R100" s="7" t="s">
        <v>0</v>
      </c>
      <c r="S100" s="7" t="s">
        <v>0</v>
      </c>
      <c r="T100" s="7" t="s">
        <v>0</v>
      </c>
      <c r="U100" s="7" t="s">
        <v>0</v>
      </c>
      <c r="V100" s="16" t="str">
        <f>HYPERLINK("http://www.aruplab.com/Testing-Information/resources/HotLines/HotLineDocs/Oct2026QHL/3002622.pdf","H")</f>
        <v>H</v>
      </c>
      <c r="W100" s="7" t="s">
        <v>0</v>
      </c>
      <c r="X100" s="7" t="s">
        <v>0</v>
      </c>
      <c r="Y100" s="7" t="s">
        <v>0</v>
      </c>
      <c r="Z100" s="8">
        <v>46314</v>
      </c>
    </row>
    <row r="101" spans="1:26" ht="30" x14ac:dyDescent="0.25">
      <c r="A101" s="6" t="s">
        <v>308</v>
      </c>
      <c r="B101" s="6" t="s">
        <v>309</v>
      </c>
      <c r="C101" s="6" t="s">
        <v>310</v>
      </c>
      <c r="D101" s="7" t="s">
        <v>0</v>
      </c>
      <c r="E101" s="7" t="s">
        <v>0</v>
      </c>
      <c r="F101" s="7" t="s">
        <v>34</v>
      </c>
      <c r="G101" s="7" t="s">
        <v>0</v>
      </c>
      <c r="H101" s="7" t="s">
        <v>0</v>
      </c>
      <c r="I101" s="7" t="s">
        <v>0</v>
      </c>
      <c r="J101" s="7" t="s">
        <v>0</v>
      </c>
      <c r="K101" s="7" t="s">
        <v>0</v>
      </c>
      <c r="L101" s="7" t="s">
        <v>0</v>
      </c>
      <c r="M101" s="7" t="s">
        <v>0</v>
      </c>
      <c r="N101" s="7" t="s">
        <v>0</v>
      </c>
      <c r="O101" s="7" t="s">
        <v>0</v>
      </c>
      <c r="P101" s="7" t="s">
        <v>0</v>
      </c>
      <c r="Q101" s="7" t="s">
        <v>0</v>
      </c>
      <c r="R101" s="7" t="s">
        <v>0</v>
      </c>
      <c r="S101" s="7" t="s">
        <v>0</v>
      </c>
      <c r="T101" s="7" t="s">
        <v>0</v>
      </c>
      <c r="U101" s="7" t="s">
        <v>0</v>
      </c>
      <c r="V101" s="16" t="str">
        <f>HYPERLINK("http://www.aruplab.com/Testing-Information/resources/HotLines/HotLineDocs/Oct2026QHL/3002623.pdf","H")</f>
        <v>H</v>
      </c>
      <c r="W101" s="7" t="s">
        <v>0</v>
      </c>
      <c r="X101" s="7" t="s">
        <v>0</v>
      </c>
      <c r="Y101" s="7" t="s">
        <v>0</v>
      </c>
      <c r="Z101" s="8">
        <v>46314</v>
      </c>
    </row>
    <row r="102" spans="1:26" ht="30" x14ac:dyDescent="0.25">
      <c r="A102" s="6" t="s">
        <v>311</v>
      </c>
      <c r="B102" s="6" t="s">
        <v>312</v>
      </c>
      <c r="C102" s="6" t="s">
        <v>313</v>
      </c>
      <c r="D102" s="7" t="s">
        <v>0</v>
      </c>
      <c r="E102" s="7" t="s">
        <v>0</v>
      </c>
      <c r="F102" s="7" t="s">
        <v>34</v>
      </c>
      <c r="G102" s="7" t="s">
        <v>0</v>
      </c>
      <c r="H102" s="7" t="s">
        <v>0</v>
      </c>
      <c r="I102" s="7" t="s">
        <v>0</v>
      </c>
      <c r="J102" s="7" t="s">
        <v>0</v>
      </c>
      <c r="K102" s="7" t="s">
        <v>0</v>
      </c>
      <c r="L102" s="7" t="s">
        <v>0</v>
      </c>
      <c r="M102" s="7" t="s">
        <v>0</v>
      </c>
      <c r="N102" s="7" t="s">
        <v>0</v>
      </c>
      <c r="O102" s="7" t="s">
        <v>0</v>
      </c>
      <c r="P102" s="7" t="s">
        <v>0</v>
      </c>
      <c r="Q102" s="7" t="s">
        <v>0</v>
      </c>
      <c r="R102" s="7" t="s">
        <v>0</v>
      </c>
      <c r="S102" s="7" t="s">
        <v>0</v>
      </c>
      <c r="T102" s="7" t="s">
        <v>0</v>
      </c>
      <c r="U102" s="7" t="s">
        <v>0</v>
      </c>
      <c r="V102" s="16" t="str">
        <f>HYPERLINK("http://www.aruplab.com/Testing-Information/resources/HotLines/HotLineDocs/Oct2026QHL/3002624.pdf","H")</f>
        <v>H</v>
      </c>
      <c r="W102" s="7" t="s">
        <v>0</v>
      </c>
      <c r="X102" s="7" t="s">
        <v>0</v>
      </c>
      <c r="Y102" s="7" t="s">
        <v>0</v>
      </c>
      <c r="Z102" s="8">
        <v>46314</v>
      </c>
    </row>
    <row r="103" spans="1:26" ht="30" x14ac:dyDescent="0.25">
      <c r="A103" s="6" t="s">
        <v>314</v>
      </c>
      <c r="B103" s="6" t="s">
        <v>315</v>
      </c>
      <c r="C103" s="6" t="s">
        <v>316</v>
      </c>
      <c r="D103" s="7" t="s">
        <v>0</v>
      </c>
      <c r="E103" s="7" t="s">
        <v>0</v>
      </c>
      <c r="F103" s="7" t="s">
        <v>34</v>
      </c>
      <c r="G103" s="7" t="s">
        <v>0</v>
      </c>
      <c r="H103" s="7" t="s">
        <v>0</v>
      </c>
      <c r="I103" s="7" t="s">
        <v>0</v>
      </c>
      <c r="J103" s="7" t="s">
        <v>0</v>
      </c>
      <c r="K103" s="7" t="s">
        <v>0</v>
      </c>
      <c r="L103" s="7" t="s">
        <v>0</v>
      </c>
      <c r="M103" s="7" t="s">
        <v>0</v>
      </c>
      <c r="N103" s="7" t="s">
        <v>0</v>
      </c>
      <c r="O103" s="7" t="s">
        <v>0</v>
      </c>
      <c r="P103" s="7" t="s">
        <v>0</v>
      </c>
      <c r="Q103" s="7" t="s">
        <v>0</v>
      </c>
      <c r="R103" s="7" t="s">
        <v>0</v>
      </c>
      <c r="S103" s="7" t="s">
        <v>0</v>
      </c>
      <c r="T103" s="7" t="s">
        <v>0</v>
      </c>
      <c r="U103" s="7" t="s">
        <v>0</v>
      </c>
      <c r="V103" s="16" t="str">
        <f>HYPERLINK("http://www.aruplab.com/Testing-Information/resources/HotLines/HotLineDocs/Oct2026QHL/3002625.pdf","H")</f>
        <v>H</v>
      </c>
      <c r="W103" s="7" t="s">
        <v>0</v>
      </c>
      <c r="X103" s="7" t="s">
        <v>0</v>
      </c>
      <c r="Y103" s="7" t="s">
        <v>0</v>
      </c>
      <c r="Z103" s="8">
        <v>46314</v>
      </c>
    </row>
    <row r="104" spans="1:26" ht="30" x14ac:dyDescent="0.25">
      <c r="A104" s="6" t="s">
        <v>317</v>
      </c>
      <c r="B104" s="6" t="s">
        <v>318</v>
      </c>
      <c r="C104" s="6" t="s">
        <v>319</v>
      </c>
      <c r="D104" s="7" t="s">
        <v>0</v>
      </c>
      <c r="E104" s="7" t="s">
        <v>0</v>
      </c>
      <c r="F104" s="7" t="s">
        <v>34</v>
      </c>
      <c r="G104" s="7" t="s">
        <v>0</v>
      </c>
      <c r="H104" s="7" t="s">
        <v>0</v>
      </c>
      <c r="I104" s="7" t="s">
        <v>0</v>
      </c>
      <c r="J104" s="7" t="s">
        <v>0</v>
      </c>
      <c r="K104" s="7" t="s">
        <v>0</v>
      </c>
      <c r="L104" s="7" t="s">
        <v>0</v>
      </c>
      <c r="M104" s="7" t="s">
        <v>0</v>
      </c>
      <c r="N104" s="7" t="s">
        <v>0</v>
      </c>
      <c r="O104" s="7" t="s">
        <v>0</v>
      </c>
      <c r="P104" s="7" t="s">
        <v>0</v>
      </c>
      <c r="Q104" s="7" t="s">
        <v>0</v>
      </c>
      <c r="R104" s="7" t="s">
        <v>0</v>
      </c>
      <c r="S104" s="7" t="s">
        <v>0</v>
      </c>
      <c r="T104" s="7" t="s">
        <v>0</v>
      </c>
      <c r="U104" s="7" t="s">
        <v>0</v>
      </c>
      <c r="V104" s="16" t="str">
        <f>HYPERLINK("http://www.aruplab.com/Testing-Information/resources/HotLines/HotLineDocs/Oct2026QHL/3002626.pdf","H")</f>
        <v>H</v>
      </c>
      <c r="W104" s="7" t="s">
        <v>0</v>
      </c>
      <c r="X104" s="7" t="s">
        <v>0</v>
      </c>
      <c r="Y104" s="7" t="s">
        <v>0</v>
      </c>
      <c r="Z104" s="8">
        <v>46314</v>
      </c>
    </row>
    <row r="105" spans="1:26" ht="30" x14ac:dyDescent="0.25">
      <c r="A105" s="6" t="s">
        <v>320</v>
      </c>
      <c r="B105" s="6" t="s">
        <v>321</v>
      </c>
      <c r="C105" s="6" t="s">
        <v>322</v>
      </c>
      <c r="D105" s="7" t="s">
        <v>0</v>
      </c>
      <c r="E105" s="7" t="s">
        <v>0</v>
      </c>
      <c r="F105" s="7" t="s">
        <v>34</v>
      </c>
      <c r="G105" s="7" t="s">
        <v>0</v>
      </c>
      <c r="H105" s="7" t="s">
        <v>0</v>
      </c>
      <c r="I105" s="7" t="s">
        <v>0</v>
      </c>
      <c r="J105" s="7" t="s">
        <v>0</v>
      </c>
      <c r="K105" s="7" t="s">
        <v>0</v>
      </c>
      <c r="L105" s="7" t="s">
        <v>0</v>
      </c>
      <c r="M105" s="7" t="s">
        <v>0</v>
      </c>
      <c r="N105" s="7" t="s">
        <v>0</v>
      </c>
      <c r="O105" s="7" t="s">
        <v>0</v>
      </c>
      <c r="P105" s="7" t="s">
        <v>0</v>
      </c>
      <c r="Q105" s="7" t="s">
        <v>0</v>
      </c>
      <c r="R105" s="7" t="s">
        <v>0</v>
      </c>
      <c r="S105" s="7" t="s">
        <v>0</v>
      </c>
      <c r="T105" s="7" t="s">
        <v>0</v>
      </c>
      <c r="U105" s="7" t="s">
        <v>0</v>
      </c>
      <c r="V105" s="16" t="str">
        <f>HYPERLINK("http://www.aruplab.com/Testing-Information/resources/HotLines/HotLineDocs/Oct2026QHL/3002627.pdf","H")</f>
        <v>H</v>
      </c>
      <c r="W105" s="7" t="s">
        <v>0</v>
      </c>
      <c r="X105" s="7" t="s">
        <v>0</v>
      </c>
      <c r="Y105" s="7" t="s">
        <v>0</v>
      </c>
      <c r="Z105" s="8">
        <v>46314</v>
      </c>
    </row>
    <row r="106" spans="1:26" ht="30" x14ac:dyDescent="0.25">
      <c r="A106" s="6" t="s">
        <v>323</v>
      </c>
      <c r="B106" s="6" t="s">
        <v>324</v>
      </c>
      <c r="C106" s="6" t="s">
        <v>325</v>
      </c>
      <c r="D106" s="7" t="s">
        <v>0</v>
      </c>
      <c r="E106" s="7" t="s">
        <v>0</v>
      </c>
      <c r="F106" s="7" t="s">
        <v>34</v>
      </c>
      <c r="G106" s="7" t="s">
        <v>0</v>
      </c>
      <c r="H106" s="7" t="s">
        <v>0</v>
      </c>
      <c r="I106" s="7" t="s">
        <v>0</v>
      </c>
      <c r="J106" s="7" t="s">
        <v>0</v>
      </c>
      <c r="K106" s="7" t="s">
        <v>0</v>
      </c>
      <c r="L106" s="7" t="s">
        <v>0</v>
      </c>
      <c r="M106" s="7" t="s">
        <v>0</v>
      </c>
      <c r="N106" s="7" t="s">
        <v>0</v>
      </c>
      <c r="O106" s="7" t="s">
        <v>0</v>
      </c>
      <c r="P106" s="7" t="s">
        <v>0</v>
      </c>
      <c r="Q106" s="7" t="s">
        <v>0</v>
      </c>
      <c r="R106" s="7" t="s">
        <v>0</v>
      </c>
      <c r="S106" s="7" t="s">
        <v>0</v>
      </c>
      <c r="T106" s="7" t="s">
        <v>0</v>
      </c>
      <c r="U106" s="7" t="s">
        <v>0</v>
      </c>
      <c r="V106" s="16" t="str">
        <f>HYPERLINK("http://www.aruplab.com/Testing-Information/resources/HotLines/HotLineDocs/Oct2026QHL/3002628.pdf","H")</f>
        <v>H</v>
      </c>
      <c r="W106" s="7" t="s">
        <v>0</v>
      </c>
      <c r="X106" s="7" t="s">
        <v>0</v>
      </c>
      <c r="Y106" s="7" t="s">
        <v>0</v>
      </c>
      <c r="Z106" s="8">
        <v>46314</v>
      </c>
    </row>
    <row r="107" spans="1:26" ht="30" x14ac:dyDescent="0.25">
      <c r="A107" s="6" t="s">
        <v>326</v>
      </c>
      <c r="B107" s="6" t="s">
        <v>327</v>
      </c>
      <c r="C107" s="6" t="s">
        <v>328</v>
      </c>
      <c r="D107" s="7" t="s">
        <v>0</v>
      </c>
      <c r="E107" s="7" t="s">
        <v>0</v>
      </c>
      <c r="F107" s="7" t="s">
        <v>34</v>
      </c>
      <c r="G107" s="7" t="s">
        <v>0</v>
      </c>
      <c r="H107" s="7" t="s">
        <v>0</v>
      </c>
      <c r="I107" s="7" t="s">
        <v>0</v>
      </c>
      <c r="J107" s="7" t="s">
        <v>0</v>
      </c>
      <c r="K107" s="7" t="s">
        <v>0</v>
      </c>
      <c r="L107" s="7" t="s">
        <v>0</v>
      </c>
      <c r="M107" s="7" t="s">
        <v>0</v>
      </c>
      <c r="N107" s="7" t="s">
        <v>0</v>
      </c>
      <c r="O107" s="7" t="s">
        <v>0</v>
      </c>
      <c r="P107" s="7" t="s">
        <v>0</v>
      </c>
      <c r="Q107" s="7" t="s">
        <v>0</v>
      </c>
      <c r="R107" s="7" t="s">
        <v>0</v>
      </c>
      <c r="S107" s="7" t="s">
        <v>0</v>
      </c>
      <c r="T107" s="7" t="s">
        <v>0</v>
      </c>
      <c r="U107" s="7" t="s">
        <v>0</v>
      </c>
      <c r="V107" s="16" t="str">
        <f>HYPERLINK("http://www.aruplab.com/Testing-Information/resources/HotLines/HotLineDocs/Oct2026QHL/3002629.pdf","H")</f>
        <v>H</v>
      </c>
      <c r="W107" s="7" t="s">
        <v>0</v>
      </c>
      <c r="X107" s="7" t="s">
        <v>0</v>
      </c>
      <c r="Y107" s="7" t="s">
        <v>0</v>
      </c>
      <c r="Z107" s="8">
        <v>46314</v>
      </c>
    </row>
    <row r="108" spans="1:26" ht="30" x14ac:dyDescent="0.25">
      <c r="A108" s="6" t="s">
        <v>329</v>
      </c>
      <c r="B108" s="6" t="s">
        <v>330</v>
      </c>
      <c r="C108" s="6" t="s">
        <v>331</v>
      </c>
      <c r="D108" s="7" t="s">
        <v>0</v>
      </c>
      <c r="E108" s="7" t="s">
        <v>0</v>
      </c>
      <c r="F108" s="7" t="s">
        <v>34</v>
      </c>
      <c r="G108" s="7" t="s">
        <v>0</v>
      </c>
      <c r="H108" s="7" t="s">
        <v>0</v>
      </c>
      <c r="I108" s="7" t="s">
        <v>0</v>
      </c>
      <c r="J108" s="7" t="s">
        <v>0</v>
      </c>
      <c r="K108" s="7" t="s">
        <v>0</v>
      </c>
      <c r="L108" s="7" t="s">
        <v>0</v>
      </c>
      <c r="M108" s="7" t="s">
        <v>0</v>
      </c>
      <c r="N108" s="7" t="s">
        <v>0</v>
      </c>
      <c r="O108" s="7" t="s">
        <v>0</v>
      </c>
      <c r="P108" s="7" t="s">
        <v>0</v>
      </c>
      <c r="Q108" s="7" t="s">
        <v>0</v>
      </c>
      <c r="R108" s="7" t="s">
        <v>0</v>
      </c>
      <c r="S108" s="7" t="s">
        <v>0</v>
      </c>
      <c r="T108" s="7" t="s">
        <v>0</v>
      </c>
      <c r="U108" s="7" t="s">
        <v>0</v>
      </c>
      <c r="V108" s="16" t="str">
        <f>HYPERLINK("http://www.aruplab.com/Testing-Information/resources/HotLines/HotLineDocs/Oct2026QHL/3002630.pdf","H")</f>
        <v>H</v>
      </c>
      <c r="W108" s="7" t="s">
        <v>0</v>
      </c>
      <c r="X108" s="7" t="s">
        <v>0</v>
      </c>
      <c r="Y108" s="7" t="s">
        <v>0</v>
      </c>
      <c r="Z108" s="8">
        <v>46314</v>
      </c>
    </row>
    <row r="109" spans="1:26" ht="45" x14ac:dyDescent="0.25">
      <c r="A109" s="6" t="s">
        <v>332</v>
      </c>
      <c r="B109" s="6" t="s">
        <v>333</v>
      </c>
      <c r="C109" s="6" t="s">
        <v>334</v>
      </c>
      <c r="D109" s="7" t="s">
        <v>0</v>
      </c>
      <c r="E109" s="7" t="s">
        <v>0</v>
      </c>
      <c r="F109" s="7" t="s">
        <v>34</v>
      </c>
      <c r="G109" s="7" t="s">
        <v>0</v>
      </c>
      <c r="H109" s="7" t="s">
        <v>0</v>
      </c>
      <c r="I109" s="7" t="s">
        <v>0</v>
      </c>
      <c r="J109" s="7" t="s">
        <v>0</v>
      </c>
      <c r="K109" s="7" t="s">
        <v>0</v>
      </c>
      <c r="L109" s="7" t="s">
        <v>0</v>
      </c>
      <c r="M109" s="7" t="s">
        <v>0</v>
      </c>
      <c r="N109" s="7" t="s">
        <v>0</v>
      </c>
      <c r="O109" s="7" t="s">
        <v>0</v>
      </c>
      <c r="P109" s="7" t="s">
        <v>0</v>
      </c>
      <c r="Q109" s="7" t="s">
        <v>0</v>
      </c>
      <c r="R109" s="7" t="s">
        <v>0</v>
      </c>
      <c r="S109" s="7" t="s">
        <v>0</v>
      </c>
      <c r="T109" s="7" t="s">
        <v>0</v>
      </c>
      <c r="U109" s="7" t="s">
        <v>0</v>
      </c>
      <c r="V109" s="16" t="str">
        <f>HYPERLINK("http://www.aruplab.com/Testing-Information/resources/HotLines/HotLineDocs/Oct2026QHL/3002631.pdf","H")</f>
        <v>H</v>
      </c>
      <c r="W109" s="7" t="s">
        <v>0</v>
      </c>
      <c r="X109" s="7" t="s">
        <v>0</v>
      </c>
      <c r="Y109" s="7" t="s">
        <v>0</v>
      </c>
      <c r="Z109" s="8">
        <v>46314</v>
      </c>
    </row>
    <row r="110" spans="1:26" ht="60" x14ac:dyDescent="0.25">
      <c r="A110" s="6" t="s">
        <v>335</v>
      </c>
      <c r="B110" s="6" t="s">
        <v>336</v>
      </c>
      <c r="C110" s="6" t="s">
        <v>337</v>
      </c>
      <c r="D110" s="7" t="s">
        <v>0</v>
      </c>
      <c r="E110" s="7" t="s">
        <v>0</v>
      </c>
      <c r="F110" s="7" t="s">
        <v>34</v>
      </c>
      <c r="G110" s="7" t="s">
        <v>0</v>
      </c>
      <c r="H110" s="7" t="s">
        <v>0</v>
      </c>
      <c r="I110" s="7" t="s">
        <v>0</v>
      </c>
      <c r="J110" s="7" t="s">
        <v>0</v>
      </c>
      <c r="K110" s="7" t="s">
        <v>0</v>
      </c>
      <c r="L110" s="7" t="s">
        <v>0</v>
      </c>
      <c r="M110" s="7" t="s">
        <v>0</v>
      </c>
      <c r="N110" s="7" t="s">
        <v>0</v>
      </c>
      <c r="O110" s="7" t="s">
        <v>0</v>
      </c>
      <c r="P110" s="7" t="s">
        <v>0</v>
      </c>
      <c r="Q110" s="7" t="s">
        <v>0</v>
      </c>
      <c r="R110" s="7" t="s">
        <v>0</v>
      </c>
      <c r="S110" s="7" t="s">
        <v>0</v>
      </c>
      <c r="T110" s="7" t="s">
        <v>0</v>
      </c>
      <c r="U110" s="7" t="s">
        <v>0</v>
      </c>
      <c r="V110" s="16" t="str">
        <f>HYPERLINK("http://www.aruplab.com/Testing-Information/resources/HotLines/HotLineDocs/Oct2026QHL/3002956.pdf","H")</f>
        <v>H</v>
      </c>
      <c r="W110" s="7" t="s">
        <v>0</v>
      </c>
      <c r="X110" s="7" t="s">
        <v>0</v>
      </c>
      <c r="Y110" s="7" t="s">
        <v>0</v>
      </c>
      <c r="Z110" s="8">
        <v>46314</v>
      </c>
    </row>
    <row r="111" spans="1:26" ht="90" x14ac:dyDescent="0.25">
      <c r="A111" s="6" t="s">
        <v>338</v>
      </c>
      <c r="B111" s="6" t="s">
        <v>339</v>
      </c>
      <c r="C111" s="6" t="s">
        <v>340</v>
      </c>
      <c r="D111" s="7" t="s">
        <v>0</v>
      </c>
      <c r="E111" s="7" t="s">
        <v>0</v>
      </c>
      <c r="F111" s="7" t="s">
        <v>34</v>
      </c>
      <c r="G111" s="7" t="s">
        <v>0</v>
      </c>
      <c r="H111" s="7" t="s">
        <v>0</v>
      </c>
      <c r="I111" s="7" t="s">
        <v>0</v>
      </c>
      <c r="J111" s="7" t="s">
        <v>0</v>
      </c>
      <c r="K111" s="7" t="s">
        <v>0</v>
      </c>
      <c r="L111" s="7" t="s">
        <v>0</v>
      </c>
      <c r="M111" s="7" t="s">
        <v>0</v>
      </c>
      <c r="N111" s="7" t="s">
        <v>0</v>
      </c>
      <c r="O111" s="7" t="s">
        <v>0</v>
      </c>
      <c r="P111" s="7" t="s">
        <v>0</v>
      </c>
      <c r="Q111" s="7" t="s">
        <v>0</v>
      </c>
      <c r="R111" s="7" t="s">
        <v>0</v>
      </c>
      <c r="S111" s="7" t="s">
        <v>0</v>
      </c>
      <c r="T111" s="7" t="s">
        <v>0</v>
      </c>
      <c r="U111" s="7" t="s">
        <v>0</v>
      </c>
      <c r="V111" s="16" t="str">
        <f>HYPERLINK("http://www.aruplab.com/Testing-Information/resources/HotLines/HotLineDocs/Oct2026QHL/3002989.pdf","H")</f>
        <v>H</v>
      </c>
      <c r="W111" s="7" t="s">
        <v>0</v>
      </c>
      <c r="X111" s="7" t="s">
        <v>0</v>
      </c>
      <c r="Y111" s="7" t="s">
        <v>0</v>
      </c>
      <c r="Z111" s="8">
        <v>46314</v>
      </c>
    </row>
    <row r="112" spans="1:26" ht="30" x14ac:dyDescent="0.25">
      <c r="A112" s="6" t="s">
        <v>341</v>
      </c>
      <c r="B112" s="6" t="s">
        <v>342</v>
      </c>
      <c r="C112" s="6" t="s">
        <v>343</v>
      </c>
      <c r="D112" s="7" t="s">
        <v>0</v>
      </c>
      <c r="E112" s="7" t="s">
        <v>0</v>
      </c>
      <c r="F112" s="7" t="s">
        <v>34</v>
      </c>
      <c r="G112" s="7" t="s">
        <v>0</v>
      </c>
      <c r="H112" s="7" t="s">
        <v>0</v>
      </c>
      <c r="I112" s="7" t="s">
        <v>0</v>
      </c>
      <c r="J112" s="7" t="s">
        <v>0</v>
      </c>
      <c r="K112" s="7" t="s">
        <v>0</v>
      </c>
      <c r="L112" s="7" t="s">
        <v>0</v>
      </c>
      <c r="M112" s="7" t="s">
        <v>0</v>
      </c>
      <c r="N112" s="7" t="s">
        <v>0</v>
      </c>
      <c r="O112" s="7" t="s">
        <v>0</v>
      </c>
      <c r="P112" s="7" t="s">
        <v>0</v>
      </c>
      <c r="Q112" s="7" t="s">
        <v>0</v>
      </c>
      <c r="R112" s="7" t="s">
        <v>0</v>
      </c>
      <c r="S112" s="7" t="s">
        <v>0</v>
      </c>
      <c r="T112" s="7" t="s">
        <v>0</v>
      </c>
      <c r="U112" s="7" t="s">
        <v>0</v>
      </c>
      <c r="V112" s="16" t="str">
        <f>HYPERLINK("http://www.aruplab.com/Testing-Information/resources/HotLines/HotLineDocs/Oct2026QHL/3003144.pdf","H")</f>
        <v>H</v>
      </c>
      <c r="W112" s="7" t="s">
        <v>0</v>
      </c>
      <c r="X112" s="7" t="s">
        <v>0</v>
      </c>
      <c r="Y112" s="7" t="s">
        <v>0</v>
      </c>
      <c r="Z112" s="8">
        <v>46314</v>
      </c>
    </row>
    <row r="113" spans="1:26" ht="30" x14ac:dyDescent="0.25">
      <c r="A113" s="6" t="s">
        <v>344</v>
      </c>
      <c r="B113" s="6" t="s">
        <v>345</v>
      </c>
      <c r="C113" s="6" t="s">
        <v>346</v>
      </c>
      <c r="D113" s="7" t="s">
        <v>0</v>
      </c>
      <c r="E113" s="7" t="s">
        <v>0</v>
      </c>
      <c r="F113" s="7" t="s">
        <v>34</v>
      </c>
      <c r="G113" s="7" t="s">
        <v>0</v>
      </c>
      <c r="H113" s="7" t="s">
        <v>0</v>
      </c>
      <c r="I113" s="7" t="s">
        <v>0</v>
      </c>
      <c r="J113" s="7" t="s">
        <v>0</v>
      </c>
      <c r="K113" s="7" t="s">
        <v>0</v>
      </c>
      <c r="L113" s="7" t="s">
        <v>0</v>
      </c>
      <c r="M113" s="7" t="s">
        <v>0</v>
      </c>
      <c r="N113" s="7" t="s">
        <v>0</v>
      </c>
      <c r="O113" s="7" t="s">
        <v>0</v>
      </c>
      <c r="P113" s="7" t="s">
        <v>0</v>
      </c>
      <c r="Q113" s="7" t="s">
        <v>0</v>
      </c>
      <c r="R113" s="7" t="s">
        <v>0</v>
      </c>
      <c r="S113" s="7" t="s">
        <v>0</v>
      </c>
      <c r="T113" s="7" t="s">
        <v>0</v>
      </c>
      <c r="U113" s="7" t="s">
        <v>0</v>
      </c>
      <c r="V113" s="16" t="str">
        <f>HYPERLINK("http://www.aruplab.com/Testing-Information/resources/HotLines/HotLineDocs/Oct2026QHL/3003259.pdf","H")</f>
        <v>H</v>
      </c>
      <c r="W113" s="7" t="s">
        <v>0</v>
      </c>
      <c r="X113" s="7" t="s">
        <v>0</v>
      </c>
      <c r="Y113" s="7" t="s">
        <v>0</v>
      </c>
      <c r="Z113" s="8">
        <v>46314</v>
      </c>
    </row>
    <row r="114" spans="1:26" x14ac:dyDescent="0.25">
      <c r="A114" s="6" t="s">
        <v>347</v>
      </c>
      <c r="B114" s="6" t="s">
        <v>348</v>
      </c>
      <c r="C114" s="6" t="s">
        <v>349</v>
      </c>
      <c r="D114" s="7" t="s">
        <v>0</v>
      </c>
      <c r="E114" s="7" t="s">
        <v>0</v>
      </c>
      <c r="F114" s="7" t="s">
        <v>34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  <c r="P114" s="7" t="s">
        <v>0</v>
      </c>
      <c r="Q114" s="7" t="s">
        <v>0</v>
      </c>
      <c r="R114" s="7" t="s">
        <v>0</v>
      </c>
      <c r="S114" s="7" t="s">
        <v>0</v>
      </c>
      <c r="T114" s="7" t="s">
        <v>0</v>
      </c>
      <c r="U114" s="7" t="s">
        <v>0</v>
      </c>
      <c r="V114" s="16" t="str">
        <f>HYPERLINK("http://www.aruplab.com/Testing-Information/resources/HotLines/HotLineDocs/Oct2026QHL/3003260.pdf","H")</f>
        <v>H</v>
      </c>
      <c r="W114" s="7" t="s">
        <v>0</v>
      </c>
      <c r="X114" s="7" t="s">
        <v>0</v>
      </c>
      <c r="Y114" s="7" t="s">
        <v>0</v>
      </c>
      <c r="Z114" s="8">
        <v>46314</v>
      </c>
    </row>
    <row r="115" spans="1:26" ht="45" x14ac:dyDescent="0.25">
      <c r="A115" s="6" t="s">
        <v>350</v>
      </c>
      <c r="B115" s="6" t="s">
        <v>351</v>
      </c>
      <c r="C115" s="6" t="s">
        <v>352</v>
      </c>
      <c r="D115" s="7" t="s">
        <v>0</v>
      </c>
      <c r="E115" s="7" t="s">
        <v>0</v>
      </c>
      <c r="F115" s="7" t="s">
        <v>34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T115" s="7" t="s">
        <v>0</v>
      </c>
      <c r="U115" s="7" t="s">
        <v>0</v>
      </c>
      <c r="V115" s="16" t="str">
        <f>HYPERLINK("http://www.aruplab.com/Testing-Information/resources/HotLines/HotLineDocs/Oct2026QHL/3003261.pdf","H")</f>
        <v>H</v>
      </c>
      <c r="W115" s="7" t="s">
        <v>0</v>
      </c>
      <c r="X115" s="7" t="s">
        <v>0</v>
      </c>
      <c r="Y115" s="7" t="s">
        <v>0</v>
      </c>
      <c r="Z115" s="8">
        <v>46314</v>
      </c>
    </row>
    <row r="116" spans="1:26" ht="60" x14ac:dyDescent="0.25">
      <c r="A116" s="6" t="s">
        <v>353</v>
      </c>
      <c r="B116" s="6" t="s">
        <v>354</v>
      </c>
      <c r="C116" s="6" t="s">
        <v>355</v>
      </c>
      <c r="D116" s="7" t="s">
        <v>0</v>
      </c>
      <c r="E116" s="7" t="s">
        <v>0</v>
      </c>
      <c r="F116" s="7" t="s">
        <v>34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T116" s="7" t="s">
        <v>0</v>
      </c>
      <c r="U116" s="7" t="s">
        <v>0</v>
      </c>
      <c r="V116" s="16" t="str">
        <f>HYPERLINK("http://www.aruplab.com/Testing-Information/resources/HotLines/HotLineDocs/Oct2026QHL/3003751.pdf","H")</f>
        <v>H</v>
      </c>
      <c r="W116" s="7" t="s">
        <v>0</v>
      </c>
      <c r="X116" s="7" t="s">
        <v>0</v>
      </c>
      <c r="Y116" s="7" t="s">
        <v>0</v>
      </c>
      <c r="Z116" s="8">
        <v>46314</v>
      </c>
    </row>
    <row r="117" spans="1:26" ht="45" x14ac:dyDescent="0.25">
      <c r="A117" s="6" t="s">
        <v>356</v>
      </c>
      <c r="B117" s="6" t="s">
        <v>357</v>
      </c>
      <c r="C117" s="6" t="s">
        <v>358</v>
      </c>
      <c r="D117" s="7" t="s">
        <v>0</v>
      </c>
      <c r="E117" s="7" t="s">
        <v>0</v>
      </c>
      <c r="F117" s="7" t="s">
        <v>34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T117" s="7" t="s">
        <v>0</v>
      </c>
      <c r="U117" s="7" t="s">
        <v>0</v>
      </c>
      <c r="V117" s="16" t="str">
        <f>HYPERLINK("http://www.aruplab.com/Testing-Information/resources/HotLines/HotLineDocs/Oct2026QHL/3004046.pdf","H")</f>
        <v>H</v>
      </c>
      <c r="W117" s="7" t="s">
        <v>0</v>
      </c>
      <c r="X117" s="7" t="s">
        <v>0</v>
      </c>
      <c r="Y117" s="7" t="s">
        <v>0</v>
      </c>
      <c r="Z117" s="8">
        <v>46314</v>
      </c>
    </row>
    <row r="118" spans="1:26" ht="105" x14ac:dyDescent="0.25">
      <c r="A118" s="6" t="s">
        <v>359</v>
      </c>
      <c r="B118" s="6" t="s">
        <v>360</v>
      </c>
      <c r="C118" s="6" t="s">
        <v>361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34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T118" s="7" t="s">
        <v>0</v>
      </c>
      <c r="U118" s="7" t="s">
        <v>0</v>
      </c>
      <c r="V118" s="16" t="str">
        <f>HYPERLINK("http://www.aruplab.com/Testing-Information/resources/HotLines/HotLineDocs/Oct2026QHL/3004232.pdf","H")</f>
        <v>H</v>
      </c>
      <c r="W118" s="16" t="str">
        <f>HYPERLINK("http://www.aruplab.com/Testing-Information/resources/HotLines/TDMix/Oct2026QHL/3004232.xlsx","T")</f>
        <v>T</v>
      </c>
      <c r="X118" s="16" t="str">
        <f>HYPERLINK("http://www.aruplab.com/Testing-Information/resources/HotLines/Sample_Reports/Oct2026QHL/3004232_Hemophilia A (F8) 2 Inversions with Reflex to Sequencing and Reflex to DeletionDuplication_F8 COMP.pdf","E")</f>
        <v>E</v>
      </c>
      <c r="Y118" s="7" t="s">
        <v>0</v>
      </c>
      <c r="Z118" s="8">
        <v>46314</v>
      </c>
    </row>
    <row r="119" spans="1:26" ht="75" x14ac:dyDescent="0.25">
      <c r="A119" s="6" t="s">
        <v>362</v>
      </c>
      <c r="B119" s="6" t="s">
        <v>363</v>
      </c>
      <c r="C119" s="6" t="s">
        <v>364</v>
      </c>
      <c r="D119" s="7" t="s">
        <v>0</v>
      </c>
      <c r="E119" s="7" t="s">
        <v>0</v>
      </c>
      <c r="F119" s="7" t="s">
        <v>34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T119" s="7" t="s">
        <v>0</v>
      </c>
      <c r="U119" s="7" t="s">
        <v>0</v>
      </c>
      <c r="V119" s="16" t="str">
        <f>HYPERLINK("http://www.aruplab.com/Testing-Information/resources/HotLines/HotLineDocs/Oct2026QHL/3004716.pdf","H")</f>
        <v>H</v>
      </c>
      <c r="W119" s="7" t="s">
        <v>0</v>
      </c>
      <c r="X119" s="7" t="s">
        <v>0</v>
      </c>
      <c r="Y119" s="7" t="s">
        <v>0</v>
      </c>
      <c r="Z119" s="8">
        <v>46314</v>
      </c>
    </row>
    <row r="120" spans="1:26" ht="60" x14ac:dyDescent="0.25">
      <c r="A120" s="6" t="s">
        <v>365</v>
      </c>
      <c r="B120" s="6" t="s">
        <v>366</v>
      </c>
      <c r="C120" s="6" t="s">
        <v>367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34</v>
      </c>
      <c r="T120" s="7" t="s">
        <v>0</v>
      </c>
      <c r="U120" s="7" t="s">
        <v>0</v>
      </c>
      <c r="V120" s="16" t="str">
        <f>HYPERLINK("http://www.aruplab.com/Testing-Information/resources/HotLines/HotLineDocs/Oct2026QHL/3005636.pdf","H")</f>
        <v>H</v>
      </c>
      <c r="W120" s="7" t="s">
        <v>0</v>
      </c>
      <c r="X120" s="7" t="s">
        <v>0</v>
      </c>
      <c r="Y120" s="7" t="s">
        <v>0</v>
      </c>
      <c r="Z120" s="8">
        <v>46314</v>
      </c>
    </row>
    <row r="121" spans="1:26" ht="105" x14ac:dyDescent="0.25">
      <c r="A121" s="6" t="s">
        <v>368</v>
      </c>
      <c r="B121" s="6" t="s">
        <v>369</v>
      </c>
      <c r="C121" s="6" t="s">
        <v>370</v>
      </c>
      <c r="D121" s="7" t="s">
        <v>0</v>
      </c>
      <c r="E121" s="7" t="s">
        <v>0</v>
      </c>
      <c r="F121" s="7" t="s">
        <v>34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T121" s="7" t="s">
        <v>0</v>
      </c>
      <c r="U121" s="7" t="s">
        <v>0</v>
      </c>
      <c r="V121" s="16" t="str">
        <f>HYPERLINK("http://www.aruplab.com/Testing-Information/resources/HotLines/HotLineDocs/Oct2026QHL/3005839.pdf","H")</f>
        <v>H</v>
      </c>
      <c r="W121" s="7" t="s">
        <v>0</v>
      </c>
      <c r="X121" s="7" t="s">
        <v>0</v>
      </c>
      <c r="Y121" s="7" t="s">
        <v>0</v>
      </c>
      <c r="Z121" s="8">
        <v>46314</v>
      </c>
    </row>
    <row r="122" spans="1:26" ht="60" x14ac:dyDescent="0.25">
      <c r="A122" s="6" t="s">
        <v>371</v>
      </c>
      <c r="B122" s="6" t="s">
        <v>372</v>
      </c>
      <c r="C122" s="6" t="s">
        <v>373</v>
      </c>
      <c r="D122" s="7" t="s">
        <v>0</v>
      </c>
      <c r="E122" s="7" t="s">
        <v>0</v>
      </c>
      <c r="F122" s="7" t="s">
        <v>34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T122" s="7" t="s">
        <v>0</v>
      </c>
      <c r="U122" s="7" t="s">
        <v>0</v>
      </c>
      <c r="V122" s="16" t="str">
        <f>HYPERLINK("http://www.aruplab.com/Testing-Information/resources/HotLines/HotLineDocs/Oct2026QHL/3005840.pdf","H")</f>
        <v>H</v>
      </c>
      <c r="W122" s="7" t="s">
        <v>0</v>
      </c>
      <c r="X122" s="7" t="s">
        <v>0</v>
      </c>
      <c r="Y122" s="7" t="s">
        <v>0</v>
      </c>
      <c r="Z122" s="8">
        <v>46314</v>
      </c>
    </row>
    <row r="123" spans="1:26" ht="45" x14ac:dyDescent="0.25">
      <c r="A123" s="6" t="s">
        <v>374</v>
      </c>
      <c r="B123" s="6" t="s">
        <v>375</v>
      </c>
      <c r="C123" s="6" t="s">
        <v>376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34</v>
      </c>
      <c r="Q123" s="7" t="s">
        <v>0</v>
      </c>
      <c r="R123" s="7" t="s">
        <v>0</v>
      </c>
      <c r="S123" s="7" t="s">
        <v>0</v>
      </c>
      <c r="T123" s="7" t="s">
        <v>0</v>
      </c>
      <c r="U123" s="7" t="s">
        <v>0</v>
      </c>
      <c r="V123" s="16" t="str">
        <f>HYPERLINK("http://www.aruplab.com/Testing-Information/resources/HotLines/HotLineDocs/Oct2026QHL/3005949.pdf","H")</f>
        <v>H</v>
      </c>
      <c r="W123" s="16" t="str">
        <f>HYPERLINK("http://www.aruplab.com/Testing-Information/resources/HotLines/TDMix/Oct2026QHL/3005949.xlsx","T")</f>
        <v>T</v>
      </c>
      <c r="X123" s="16" t="str">
        <f>HYPERLINK("http://www.aruplab.com/Testing-Information/resources/HotLines/Sample_Reports/Oct2026QHL/3005949_Aldosterone and Renin Direct With Ratio_ALD_DR.pdf","E")</f>
        <v>E</v>
      </c>
      <c r="Y123" s="7" t="s">
        <v>0</v>
      </c>
      <c r="Z123" s="8">
        <v>46314</v>
      </c>
    </row>
    <row r="124" spans="1:26" ht="30" x14ac:dyDescent="0.25">
      <c r="A124" s="6" t="s">
        <v>377</v>
      </c>
      <c r="B124" s="6" t="s">
        <v>378</v>
      </c>
      <c r="C124" s="6" t="s">
        <v>379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34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T124" s="7" t="s">
        <v>0</v>
      </c>
      <c r="U124" s="7" t="s">
        <v>0</v>
      </c>
      <c r="V124" s="16" t="str">
        <f>HYPERLINK("http://www.aruplab.com/Testing-Information/resources/HotLines/HotLineDocs/Oct2026QHL/3005961.pdf","H")</f>
        <v>H</v>
      </c>
      <c r="W124" s="7" t="s">
        <v>0</v>
      </c>
      <c r="X124" s="16" t="str">
        <f>HYPERLINK("http://www.aruplab.com/Testing-Information/resources/HotLines/Sample_Reports/Oct2026QHL/3005961_C5 Inhibitors Drug Monitoring Panel_C5 INH PAN.pdf","E")</f>
        <v>E</v>
      </c>
      <c r="Y124" s="7" t="s">
        <v>0</v>
      </c>
      <c r="Z124" s="8">
        <v>46314</v>
      </c>
    </row>
    <row r="125" spans="1:26" ht="60" x14ac:dyDescent="0.25">
      <c r="A125" s="6" t="s">
        <v>380</v>
      </c>
      <c r="B125" s="6" t="s">
        <v>381</v>
      </c>
      <c r="C125" s="6" t="s">
        <v>382</v>
      </c>
      <c r="D125" s="7" t="s">
        <v>0</v>
      </c>
      <c r="E125" s="7" t="s">
        <v>0</v>
      </c>
      <c r="F125" s="7" t="s">
        <v>34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T125" s="7" t="s">
        <v>0</v>
      </c>
      <c r="U125" s="7" t="s">
        <v>0</v>
      </c>
      <c r="V125" s="16" t="str">
        <f>HYPERLINK("http://www.aruplab.com/Testing-Information/resources/HotLines/HotLineDocs/Oct2026QHL/3006201.pdf","H")</f>
        <v>H</v>
      </c>
      <c r="W125" s="7" t="s">
        <v>0</v>
      </c>
      <c r="X125" s="7" t="s">
        <v>0</v>
      </c>
      <c r="Y125" s="7" t="s">
        <v>0</v>
      </c>
      <c r="Z125" s="8">
        <v>46314</v>
      </c>
    </row>
    <row r="126" spans="1:26" ht="75" x14ac:dyDescent="0.25">
      <c r="A126" s="6" t="s">
        <v>383</v>
      </c>
      <c r="B126" s="6" t="s">
        <v>384</v>
      </c>
      <c r="C126" s="6" t="s">
        <v>385</v>
      </c>
      <c r="D126" s="7" t="s">
        <v>0</v>
      </c>
      <c r="E126" s="7" t="s">
        <v>0</v>
      </c>
      <c r="F126" s="7" t="s">
        <v>34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T126" s="7" t="s">
        <v>0</v>
      </c>
      <c r="U126" s="7" t="s">
        <v>0</v>
      </c>
      <c r="V126" s="16" t="str">
        <f>HYPERLINK("http://www.aruplab.com/Testing-Information/resources/HotLines/HotLineDocs/Oct2026QHL/3006203.pdf","H")</f>
        <v>H</v>
      </c>
      <c r="W126" s="7" t="s">
        <v>0</v>
      </c>
      <c r="X126" s="7" t="s">
        <v>0</v>
      </c>
      <c r="Y126" s="7" t="s">
        <v>0</v>
      </c>
      <c r="Z126" s="8">
        <v>46314</v>
      </c>
    </row>
    <row r="127" spans="1:26" ht="45" x14ac:dyDescent="0.25">
      <c r="A127" s="6" t="s">
        <v>386</v>
      </c>
      <c r="B127" s="6" t="s">
        <v>387</v>
      </c>
      <c r="C127" s="6" t="s">
        <v>388</v>
      </c>
      <c r="D127" s="7" t="s">
        <v>0</v>
      </c>
      <c r="E127" s="7" t="s">
        <v>0</v>
      </c>
      <c r="F127" s="7" t="s">
        <v>34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T127" s="7" t="s">
        <v>0</v>
      </c>
      <c r="U127" s="7" t="s">
        <v>0</v>
      </c>
      <c r="V127" s="16" t="str">
        <f>HYPERLINK("http://www.aruplab.com/Testing-Information/resources/HotLines/HotLineDocs/Oct2026QHL/3006204.pdf","H")</f>
        <v>H</v>
      </c>
      <c r="W127" s="7" t="s">
        <v>0</v>
      </c>
      <c r="X127" s="7" t="s">
        <v>0</v>
      </c>
      <c r="Y127" s="7" t="s">
        <v>0</v>
      </c>
      <c r="Z127" s="8">
        <v>46314</v>
      </c>
    </row>
    <row r="128" spans="1:26" ht="45" x14ac:dyDescent="0.25">
      <c r="A128" s="6" t="s">
        <v>389</v>
      </c>
      <c r="B128" s="6" t="s">
        <v>390</v>
      </c>
      <c r="C128" s="6" t="s">
        <v>391</v>
      </c>
      <c r="D128" s="7" t="s">
        <v>0</v>
      </c>
      <c r="E128" s="7" t="s">
        <v>0</v>
      </c>
      <c r="F128" s="7" t="s">
        <v>34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T128" s="7" t="s">
        <v>0</v>
      </c>
      <c r="U128" s="7" t="s">
        <v>0</v>
      </c>
      <c r="V128" s="16" t="str">
        <f>HYPERLINK("http://www.aruplab.com/Testing-Information/resources/HotLines/HotLineDocs/Oct2026QHL/3006208.pdf","H")</f>
        <v>H</v>
      </c>
      <c r="W128" s="7" t="s">
        <v>0</v>
      </c>
      <c r="X128" s="7" t="s">
        <v>0</v>
      </c>
      <c r="Y128" s="7" t="s">
        <v>0</v>
      </c>
      <c r="Z128" s="8">
        <v>46314</v>
      </c>
    </row>
    <row r="129" spans="1:26" ht="45" x14ac:dyDescent="0.25">
      <c r="A129" s="6" t="s">
        <v>392</v>
      </c>
      <c r="B129" s="6" t="s">
        <v>393</v>
      </c>
      <c r="C129" s="6" t="s">
        <v>394</v>
      </c>
      <c r="D129" s="7" t="s">
        <v>0</v>
      </c>
      <c r="E129" s="7" t="s">
        <v>0</v>
      </c>
      <c r="F129" s="7" t="s">
        <v>34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T129" s="7" t="s">
        <v>0</v>
      </c>
      <c r="U129" s="7" t="s">
        <v>0</v>
      </c>
      <c r="V129" s="16" t="str">
        <f>HYPERLINK("http://www.aruplab.com/Testing-Information/resources/HotLines/HotLineDocs/Oct2026QHL/3006210.pdf","H")</f>
        <v>H</v>
      </c>
      <c r="W129" s="7" t="s">
        <v>0</v>
      </c>
      <c r="X129" s="7" t="s">
        <v>0</v>
      </c>
      <c r="Y129" s="7" t="s">
        <v>0</v>
      </c>
      <c r="Z129" s="8">
        <v>46314</v>
      </c>
    </row>
    <row r="130" spans="1:26" ht="45" x14ac:dyDescent="0.25">
      <c r="A130" s="6" t="s">
        <v>395</v>
      </c>
      <c r="B130" s="6" t="s">
        <v>396</v>
      </c>
      <c r="C130" s="6" t="s">
        <v>397</v>
      </c>
      <c r="D130" s="7" t="s">
        <v>0</v>
      </c>
      <c r="E130" s="7" t="s">
        <v>0</v>
      </c>
      <c r="F130" s="7" t="s">
        <v>34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T130" s="7" t="s">
        <v>0</v>
      </c>
      <c r="U130" s="7" t="s">
        <v>0</v>
      </c>
      <c r="V130" s="16" t="str">
        <f>HYPERLINK("http://www.aruplab.com/Testing-Information/resources/HotLines/HotLineDocs/Oct2026QHL/3006234.pdf","H")</f>
        <v>H</v>
      </c>
      <c r="W130" s="7" t="s">
        <v>0</v>
      </c>
      <c r="X130" s="7" t="s">
        <v>0</v>
      </c>
      <c r="Y130" s="7" t="s">
        <v>0</v>
      </c>
      <c r="Z130" s="8">
        <v>46314</v>
      </c>
    </row>
    <row r="131" spans="1:26" ht="60" x14ac:dyDescent="0.25">
      <c r="A131" s="6" t="s">
        <v>398</v>
      </c>
      <c r="B131" s="6" t="s">
        <v>399</v>
      </c>
      <c r="C131" s="6" t="s">
        <v>400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34</v>
      </c>
      <c r="T131" s="7" t="s">
        <v>0</v>
      </c>
      <c r="U131" s="7" t="s">
        <v>0</v>
      </c>
      <c r="V131" s="16" t="str">
        <f>HYPERLINK("http://www.aruplab.com/Testing-Information/resources/HotLines/HotLineDocs/Oct2026QHL/3006254.pdf","H")</f>
        <v>H</v>
      </c>
      <c r="W131" s="7" t="s">
        <v>0</v>
      </c>
      <c r="X131" s="7" t="s">
        <v>0</v>
      </c>
      <c r="Y131" s="7" t="s">
        <v>0</v>
      </c>
      <c r="Z131" s="8">
        <v>46314</v>
      </c>
    </row>
    <row r="132" spans="1:26" ht="30" x14ac:dyDescent="0.25">
      <c r="A132" s="6" t="s">
        <v>401</v>
      </c>
      <c r="B132" s="6" t="s">
        <v>402</v>
      </c>
      <c r="C132" s="6" t="s">
        <v>403</v>
      </c>
      <c r="D132" s="7" t="s">
        <v>0</v>
      </c>
      <c r="E132" s="7" t="s">
        <v>0</v>
      </c>
      <c r="F132" s="7" t="s">
        <v>34</v>
      </c>
      <c r="G132" s="7" t="s">
        <v>0</v>
      </c>
      <c r="H132" s="7" t="s">
        <v>0</v>
      </c>
      <c r="I132" s="7" t="s">
        <v>0</v>
      </c>
      <c r="J132" s="7" t="s">
        <v>34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T132" s="7" t="s">
        <v>0</v>
      </c>
      <c r="U132" s="7" t="s">
        <v>0</v>
      </c>
      <c r="V132" s="16" t="str">
        <f>HYPERLINK("http://www.aruplab.com/Testing-Information/resources/HotLines/HotLineDocs/Oct2026QHL/3016631.pdf","H")</f>
        <v>H</v>
      </c>
      <c r="W132" s="7" t="s">
        <v>0</v>
      </c>
      <c r="X132" s="7" t="s">
        <v>0</v>
      </c>
      <c r="Y132" s="7" t="s">
        <v>0</v>
      </c>
      <c r="Z132" s="8">
        <v>46314</v>
      </c>
    </row>
    <row r="133" spans="1:26" ht="30" x14ac:dyDescent="0.25">
      <c r="A133" s="6" t="s">
        <v>404</v>
      </c>
      <c r="B133" s="6" t="s">
        <v>405</v>
      </c>
      <c r="C133" s="6" t="s">
        <v>406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34</v>
      </c>
      <c r="T133" s="7" t="s">
        <v>0</v>
      </c>
      <c r="U133" s="7" t="s">
        <v>0</v>
      </c>
      <c r="V133" s="16" t="str">
        <f>HYPERLINK("http://www.aruplab.com/Testing-Information/resources/HotLines/HotLineDocs/Oct2026QHL/3016813.pdf","H")</f>
        <v>H</v>
      </c>
      <c r="W133" s="7" t="s">
        <v>0</v>
      </c>
      <c r="X133" s="7" t="s">
        <v>0</v>
      </c>
      <c r="Y133" s="7" t="s">
        <v>0</v>
      </c>
      <c r="Z133" s="8">
        <v>46314</v>
      </c>
    </row>
    <row r="134" spans="1:26" ht="135" x14ac:dyDescent="0.25">
      <c r="A134" s="6" t="s">
        <v>407</v>
      </c>
      <c r="B134" s="6" t="s">
        <v>408</v>
      </c>
      <c r="C134" s="6" t="s">
        <v>409</v>
      </c>
      <c r="D134" s="7" t="s">
        <v>0</v>
      </c>
      <c r="E134" s="7" t="s">
        <v>0</v>
      </c>
      <c r="F134" s="7" t="s">
        <v>34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T134" s="7" t="s">
        <v>0</v>
      </c>
      <c r="U134" s="7" t="s">
        <v>0</v>
      </c>
      <c r="V134" s="16" t="str">
        <f>HYPERLINK("http://www.aruplab.com/Testing-Information/resources/HotLines/HotLineDocs/Oct2026QHL/3016839.pdf","H")</f>
        <v>H</v>
      </c>
      <c r="W134" s="7" t="s">
        <v>0</v>
      </c>
      <c r="X134" s="7" t="s">
        <v>0</v>
      </c>
      <c r="Y134" s="7" t="s">
        <v>0</v>
      </c>
      <c r="Z134" s="8">
        <v>46314</v>
      </c>
    </row>
    <row r="135" spans="1:26" ht="105" x14ac:dyDescent="0.25">
      <c r="A135" s="6" t="s">
        <v>410</v>
      </c>
      <c r="B135" s="6" t="s">
        <v>411</v>
      </c>
      <c r="C135" s="6" t="s">
        <v>412</v>
      </c>
      <c r="D135" s="7" t="s">
        <v>0</v>
      </c>
      <c r="E135" s="7" t="s">
        <v>0</v>
      </c>
      <c r="F135" s="7" t="s">
        <v>34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T135" s="7" t="s">
        <v>0</v>
      </c>
      <c r="U135" s="7" t="s">
        <v>0</v>
      </c>
      <c r="V135" s="16" t="str">
        <f>HYPERLINK("http://www.aruplab.com/Testing-Information/resources/HotLines/HotLineDocs/Oct2026QHL/3016840.pdf","H")</f>
        <v>H</v>
      </c>
      <c r="W135" s="7" t="s">
        <v>0</v>
      </c>
      <c r="X135" s="7" t="s">
        <v>0</v>
      </c>
      <c r="Y135" s="7" t="s">
        <v>0</v>
      </c>
      <c r="Z135" s="8">
        <v>46314</v>
      </c>
    </row>
    <row r="136" spans="1:26" ht="60" x14ac:dyDescent="0.25">
      <c r="A136" s="6" t="s">
        <v>413</v>
      </c>
      <c r="B136" s="6" t="s">
        <v>414</v>
      </c>
      <c r="C136" s="6" t="s">
        <v>415</v>
      </c>
      <c r="D136" s="7" t="s">
        <v>0</v>
      </c>
      <c r="E136" s="7" t="s">
        <v>0</v>
      </c>
      <c r="F136" s="7" t="s">
        <v>34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T136" s="7" t="s">
        <v>0</v>
      </c>
      <c r="U136" s="7" t="s">
        <v>0</v>
      </c>
      <c r="V136" s="16" t="str">
        <f>HYPERLINK("http://www.aruplab.com/Testing-Information/resources/HotLines/HotLineDocs/Oct2026QHL/3016968.pdf","H")</f>
        <v>H</v>
      </c>
      <c r="W136" s="7" t="s">
        <v>0</v>
      </c>
      <c r="X136" s="7" t="s">
        <v>0</v>
      </c>
      <c r="Y136" s="7" t="s">
        <v>0</v>
      </c>
      <c r="Z136" s="8">
        <v>46314</v>
      </c>
    </row>
    <row r="137" spans="1:26" ht="45" x14ac:dyDescent="0.25">
      <c r="A137" s="6" t="s">
        <v>416</v>
      </c>
      <c r="B137" s="6" t="s">
        <v>417</v>
      </c>
      <c r="C137" s="6" t="s">
        <v>418</v>
      </c>
      <c r="D137" s="7" t="s">
        <v>0</v>
      </c>
      <c r="E137" s="7" t="s">
        <v>0</v>
      </c>
      <c r="F137" s="7" t="s">
        <v>34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T137" s="7" t="s">
        <v>0</v>
      </c>
      <c r="U137" s="7" t="s">
        <v>0</v>
      </c>
      <c r="V137" s="16" t="str">
        <f>HYPERLINK("http://www.aruplab.com/Testing-Information/resources/HotLines/HotLineDocs/Oct2026QHL/3017399.pdf","H")</f>
        <v>H</v>
      </c>
      <c r="W137" s="7" t="s">
        <v>0</v>
      </c>
      <c r="X137" s="7" t="s">
        <v>0</v>
      </c>
      <c r="Y137" s="7" t="s">
        <v>0</v>
      </c>
      <c r="Z137" s="8">
        <v>46314</v>
      </c>
    </row>
    <row r="138" spans="1:26" ht="30" x14ac:dyDescent="0.25">
      <c r="A138" s="6" t="s">
        <v>419</v>
      </c>
      <c r="B138" s="6" t="s">
        <v>420</v>
      </c>
      <c r="C138" s="6" t="s">
        <v>421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34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T138" s="7" t="s">
        <v>0</v>
      </c>
      <c r="U138" s="7" t="s">
        <v>0</v>
      </c>
      <c r="V138" s="16" t="str">
        <f>HYPERLINK("http://www.aruplab.com/Testing-Information/resources/HotLines/HotLineDocs/Oct2026QHL/3017610.pdf","H")</f>
        <v>H</v>
      </c>
      <c r="W138" s="16" t="str">
        <f>HYPERLINK("http://www.aruplab.com/Testing-Information/resources/HotLines/TDMix/Oct2026QHL/3017610.xlsx","T")</f>
        <v>T</v>
      </c>
      <c r="X138" s="7" t="s">
        <v>0</v>
      </c>
      <c r="Y138" s="7" t="s">
        <v>0</v>
      </c>
      <c r="Z138" s="8">
        <v>46314</v>
      </c>
    </row>
    <row r="139" spans="1:26" ht="45" x14ac:dyDescent="0.25">
      <c r="A139" s="6" t="s">
        <v>422</v>
      </c>
      <c r="B139" s="6" t="s">
        <v>423</v>
      </c>
      <c r="C139" s="6" t="s">
        <v>424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34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T139" s="7" t="s">
        <v>0</v>
      </c>
      <c r="U139" s="7" t="s">
        <v>0</v>
      </c>
      <c r="V139" s="16" t="str">
        <f>HYPERLINK("http://www.aruplab.com/Testing-Information/resources/HotLines/HotLineDocs/Oct2026QHL/3017611.pdf","H")</f>
        <v>H</v>
      </c>
      <c r="W139" s="16" t="str">
        <f>HYPERLINK("http://www.aruplab.com/Testing-Information/resources/HotLines/TDMix/Oct2026QHL/3017611.xlsx","T")</f>
        <v>T</v>
      </c>
      <c r="X139" s="7" t="s">
        <v>0</v>
      </c>
      <c r="Y139" s="7" t="s">
        <v>0</v>
      </c>
      <c r="Z139" s="8">
        <v>46314</v>
      </c>
    </row>
    <row r="140" spans="1:26" ht="45" x14ac:dyDescent="0.25">
      <c r="A140" s="6" t="s">
        <v>425</v>
      </c>
      <c r="B140" s="6" t="s">
        <v>426</v>
      </c>
      <c r="C140" s="6" t="s">
        <v>427</v>
      </c>
      <c r="D140" s="7" t="s">
        <v>34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T140" s="7" t="s">
        <v>0</v>
      </c>
      <c r="U140" s="7" t="s">
        <v>0</v>
      </c>
      <c r="V140" s="16" t="str">
        <f>HYPERLINK("http://www.aruplab.com/Testing-Information/resources/HotLines/HotLineDocs/Oct2026QHL/3018640.pdf","H")</f>
        <v>H</v>
      </c>
      <c r="W140" s="16" t="str">
        <f>HYPERLINK("http://www.aruplab.com/Testing-Information/resources/HotLines/TDMix/Oct2026QHL/3018640.xlsx","T")</f>
        <v>T</v>
      </c>
      <c r="X140" s="16" t="str">
        <f>HYPERLINK("http://www.aruplab.com/Testing-Information/resources/HotLines/Sample_Reports/Oct2026QHL/3018640_Allergen, Food, Hazelnut Components IgE_HZLNUT COM.pdf","E")</f>
        <v>E</v>
      </c>
      <c r="Y140" s="16" t="str">
        <f>HYPERLINK("https://connect.aruplab.com/Pricing/TestPrice/3018640/D10192026","P")</f>
        <v>P</v>
      </c>
      <c r="Z140" s="8">
        <v>46314</v>
      </c>
    </row>
    <row r="141" spans="1:26" ht="165" x14ac:dyDescent="0.25">
      <c r="A141" s="6" t="s">
        <v>428</v>
      </c>
      <c r="B141" s="6" t="s">
        <v>429</v>
      </c>
      <c r="C141" s="6" t="s">
        <v>430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34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T141" s="7" t="s">
        <v>0</v>
      </c>
      <c r="U141" s="7" t="s">
        <v>0</v>
      </c>
      <c r="V141" s="16" t="str">
        <f>HYPERLINK("http://www.aruplab.com/Testing-Information/resources/HotLines/HotLineDocs/Oct2026QHL/3018776.pdf","H")</f>
        <v>H</v>
      </c>
      <c r="W141" s="7" t="s">
        <v>0</v>
      </c>
      <c r="X141" s="7" t="s">
        <v>0</v>
      </c>
      <c r="Y141" s="7" t="s">
        <v>0</v>
      </c>
      <c r="Z141" s="8">
        <v>46314</v>
      </c>
    </row>
    <row r="142" spans="1:26" ht="45" x14ac:dyDescent="0.25">
      <c r="A142" s="6" t="s">
        <v>431</v>
      </c>
      <c r="B142" s="6" t="s">
        <v>432</v>
      </c>
      <c r="C142" s="6" t="s">
        <v>433</v>
      </c>
      <c r="D142" s="7" t="s">
        <v>0</v>
      </c>
      <c r="E142" s="7" t="s">
        <v>0</v>
      </c>
      <c r="F142" s="7" t="s">
        <v>34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T142" s="7" t="s">
        <v>0</v>
      </c>
      <c r="U142" s="7" t="s">
        <v>0</v>
      </c>
      <c r="V142" s="16" t="str">
        <f>HYPERLINK("http://www.aruplab.com/Testing-Information/resources/HotLines/HotLineDocs/Oct2026QHL/3018922.pdf","H")</f>
        <v>H</v>
      </c>
      <c r="W142" s="7" t="s">
        <v>0</v>
      </c>
      <c r="X142" s="7" t="s">
        <v>0</v>
      </c>
      <c r="Y142" s="7" t="s">
        <v>0</v>
      </c>
      <c r="Z142" s="8">
        <v>46314</v>
      </c>
    </row>
    <row r="143" spans="1:26" ht="30" x14ac:dyDescent="0.25">
      <c r="A143" s="6" t="s">
        <v>434</v>
      </c>
      <c r="B143" s="6" t="s">
        <v>435</v>
      </c>
      <c r="C143" s="6" t="s">
        <v>436</v>
      </c>
      <c r="D143" s="7" t="s">
        <v>0</v>
      </c>
      <c r="E143" s="7" t="s">
        <v>0</v>
      </c>
      <c r="F143" s="7" t="s">
        <v>34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T143" s="7" t="s">
        <v>0</v>
      </c>
      <c r="U143" s="7" t="s">
        <v>0</v>
      </c>
      <c r="V143" s="16" t="str">
        <f>HYPERLINK("http://www.aruplab.com/Testing-Information/resources/HotLines/HotLineDocs/Oct2026QHL/3018943.pdf","H")</f>
        <v>H</v>
      </c>
      <c r="W143" s="7" t="s">
        <v>0</v>
      </c>
      <c r="X143" s="7" t="s">
        <v>0</v>
      </c>
      <c r="Y143" s="7" t="s">
        <v>0</v>
      </c>
      <c r="Z143" s="8">
        <v>46314</v>
      </c>
    </row>
    <row r="144" spans="1:26" ht="60" x14ac:dyDescent="0.25">
      <c r="A144" s="6" t="s">
        <v>437</v>
      </c>
      <c r="B144" s="6" t="s">
        <v>438</v>
      </c>
      <c r="C144" s="6" t="s">
        <v>439</v>
      </c>
      <c r="D144" s="7" t="s">
        <v>0</v>
      </c>
      <c r="E144" s="7" t="s">
        <v>0</v>
      </c>
      <c r="F144" s="7" t="s">
        <v>34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T144" s="7" t="s">
        <v>0</v>
      </c>
      <c r="U144" s="7" t="s">
        <v>0</v>
      </c>
      <c r="V144" s="16" t="str">
        <f>HYPERLINK("http://www.aruplab.com/Testing-Information/resources/HotLines/HotLineDocs/Oct2026QHL/3018964.pdf","H")</f>
        <v>H</v>
      </c>
      <c r="W144" s="7" t="s">
        <v>0</v>
      </c>
      <c r="X144" s="7" t="s">
        <v>0</v>
      </c>
      <c r="Y144" s="7" t="s">
        <v>0</v>
      </c>
      <c r="Z144" s="8">
        <v>46314</v>
      </c>
    </row>
    <row r="145" spans="1:26" ht="60" x14ac:dyDescent="0.25">
      <c r="A145" s="6" t="s">
        <v>440</v>
      </c>
      <c r="B145" s="6" t="s">
        <v>441</v>
      </c>
      <c r="C145" s="6" t="s">
        <v>442</v>
      </c>
      <c r="D145" s="7" t="s">
        <v>0</v>
      </c>
      <c r="E145" s="7" t="s">
        <v>0</v>
      </c>
      <c r="F145" s="7" t="s">
        <v>34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T145" s="7" t="s">
        <v>0</v>
      </c>
      <c r="U145" s="7" t="s">
        <v>0</v>
      </c>
      <c r="V145" s="16" t="str">
        <f>HYPERLINK("http://www.aruplab.com/Testing-Information/resources/HotLines/HotLineDocs/Oct2026QHL/3018965.pdf","H")</f>
        <v>H</v>
      </c>
      <c r="W145" s="7" t="s">
        <v>0</v>
      </c>
      <c r="X145" s="7" t="s">
        <v>0</v>
      </c>
      <c r="Y145" s="7" t="s">
        <v>0</v>
      </c>
      <c r="Z145" s="8">
        <v>46314</v>
      </c>
    </row>
    <row r="146" spans="1:26" ht="30" x14ac:dyDescent="0.25">
      <c r="A146" s="6" t="s">
        <v>443</v>
      </c>
      <c r="B146" s="6" t="s">
        <v>444</v>
      </c>
      <c r="C146" s="6" t="s">
        <v>445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34</v>
      </c>
      <c r="T146" s="7" t="s">
        <v>0</v>
      </c>
      <c r="U146" s="7" t="s">
        <v>0</v>
      </c>
      <c r="V146" s="16" t="str">
        <f>HYPERLINK("http://www.aruplab.com/Testing-Information/resources/HotLines/HotLineDocs/Oct2026QHL/3019004.pdf","H")</f>
        <v>H</v>
      </c>
      <c r="W146" s="7" t="s">
        <v>0</v>
      </c>
      <c r="X146" s="7" t="s">
        <v>0</v>
      </c>
      <c r="Y146" s="7" t="s">
        <v>0</v>
      </c>
      <c r="Z146" s="8">
        <v>46314</v>
      </c>
    </row>
    <row r="147" spans="1:26" ht="30" x14ac:dyDescent="0.25">
      <c r="A147" s="6" t="s">
        <v>446</v>
      </c>
      <c r="B147" s="6" t="s">
        <v>447</v>
      </c>
      <c r="C147" s="6" t="s">
        <v>448</v>
      </c>
      <c r="D147" s="7" t="s">
        <v>0</v>
      </c>
      <c r="E147" s="7" t="s">
        <v>0</v>
      </c>
      <c r="F147" s="7" t="s">
        <v>34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T147" s="7" t="s">
        <v>0</v>
      </c>
      <c r="U147" s="7" t="s">
        <v>0</v>
      </c>
      <c r="V147" s="16" t="str">
        <f>HYPERLINK("http://www.aruplab.com/Testing-Information/resources/HotLines/HotLineDocs/Oct2026QHL/3019856.pdf","H")</f>
        <v>H</v>
      </c>
      <c r="W147" s="7" t="s">
        <v>0</v>
      </c>
      <c r="X147" s="7" t="s">
        <v>0</v>
      </c>
      <c r="Y147" s="7" t="s">
        <v>0</v>
      </c>
      <c r="Z147" s="8">
        <v>46314</v>
      </c>
    </row>
    <row r="148" spans="1:26" ht="45" x14ac:dyDescent="0.25">
      <c r="A148" s="6" t="s">
        <v>449</v>
      </c>
      <c r="B148" s="6" t="s">
        <v>450</v>
      </c>
      <c r="C148" s="6" t="s">
        <v>451</v>
      </c>
      <c r="D148" s="7" t="s">
        <v>0</v>
      </c>
      <c r="E148" s="7" t="s">
        <v>0</v>
      </c>
      <c r="F148" s="7" t="s">
        <v>34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T148" s="7" t="s">
        <v>0</v>
      </c>
      <c r="U148" s="7" t="s">
        <v>0</v>
      </c>
      <c r="V148" s="16" t="str">
        <f>HYPERLINK("http://www.aruplab.com/Testing-Information/resources/HotLines/HotLineDocs/Oct2026QHL/3019876.pdf","H")</f>
        <v>H</v>
      </c>
      <c r="W148" s="7" t="s">
        <v>0</v>
      </c>
      <c r="X148" s="7" t="s">
        <v>0</v>
      </c>
      <c r="Y148" s="7" t="s">
        <v>0</v>
      </c>
      <c r="Z148" s="8">
        <v>46314</v>
      </c>
    </row>
    <row r="149" spans="1:26" ht="45" x14ac:dyDescent="0.25">
      <c r="A149" s="6" t="s">
        <v>452</v>
      </c>
      <c r="B149" s="6" t="s">
        <v>453</v>
      </c>
      <c r="C149" s="6" t="s">
        <v>454</v>
      </c>
      <c r="D149" s="7" t="s">
        <v>0</v>
      </c>
      <c r="E149" s="7" t="s">
        <v>0</v>
      </c>
      <c r="F149" s="7" t="s">
        <v>34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T149" s="7" t="s">
        <v>0</v>
      </c>
      <c r="U149" s="7" t="s">
        <v>0</v>
      </c>
      <c r="V149" s="16" t="str">
        <f>HYPERLINK("http://www.aruplab.com/Testing-Information/resources/HotLines/HotLineDocs/Oct2026QHL/3020079.pdf","H")</f>
        <v>H</v>
      </c>
      <c r="W149" s="7" t="s">
        <v>0</v>
      </c>
      <c r="X149" s="7" t="s">
        <v>0</v>
      </c>
      <c r="Y149" s="7" t="s">
        <v>0</v>
      </c>
      <c r="Z149" s="8">
        <v>46314</v>
      </c>
    </row>
    <row r="150" spans="1:26" ht="45" x14ac:dyDescent="0.25">
      <c r="A150" s="6" t="s">
        <v>455</v>
      </c>
      <c r="B150" s="6" t="s">
        <v>456</v>
      </c>
      <c r="C150" s="6" t="s">
        <v>250</v>
      </c>
      <c r="D150" s="7" t="s">
        <v>34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T150" s="7" t="s">
        <v>0</v>
      </c>
      <c r="U150" s="7" t="s">
        <v>0</v>
      </c>
      <c r="V150" s="16" t="str">
        <f>HYPERLINK("http://www.aruplab.com/Testing-Information/resources/HotLines/HotLineDocs/Oct2026QHL/3020269.pdf","H")</f>
        <v>H</v>
      </c>
      <c r="W150" s="16" t="str">
        <f>HYPERLINK("http://www.aruplab.com/Testing-Information/resources/HotLines/TDMix/Oct2026QHL/3020269.xlsx","T")</f>
        <v>T</v>
      </c>
      <c r="X150" s="7" t="s">
        <v>0</v>
      </c>
      <c r="Y150" s="16" t="str">
        <f>HYPERLINK("https://connect.aruplab.com/Pricing/TestPrice/3020269/D10192026","P")</f>
        <v>P</v>
      </c>
      <c r="Z150" s="8">
        <v>46314</v>
      </c>
    </row>
    <row r="151" spans="1:26" ht="60" x14ac:dyDescent="0.25">
      <c r="A151" s="6" t="s">
        <v>457</v>
      </c>
      <c r="B151" s="6" t="s">
        <v>458</v>
      </c>
      <c r="C151" s="6" t="s">
        <v>229</v>
      </c>
      <c r="D151" s="7" t="s">
        <v>34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T151" s="7" t="s">
        <v>0</v>
      </c>
      <c r="U151" s="7" t="s">
        <v>0</v>
      </c>
      <c r="V151" s="16" t="str">
        <f>HYPERLINK("http://www.aruplab.com/Testing-Information/resources/HotLines/HotLineDocs/Oct2026QHL/3020274.pdf","H")</f>
        <v>H</v>
      </c>
      <c r="W151" s="16" t="str">
        <f>HYPERLINK("http://www.aruplab.com/Testing-Information/resources/HotLines/TDMix/Oct2026QHL/3020274.xlsx","T")</f>
        <v>T</v>
      </c>
      <c r="X151" s="7" t="s">
        <v>0</v>
      </c>
      <c r="Y151" s="16" t="str">
        <f>HYPERLINK("https://connect.aruplab.com/Pricing/TestPrice/3020274/D10192026","P")</f>
        <v>P</v>
      </c>
      <c r="Z151" s="8">
        <v>46314</v>
      </c>
    </row>
    <row r="152" spans="1:26" ht="30" x14ac:dyDescent="0.25">
      <c r="A152" s="6" t="s">
        <v>459</v>
      </c>
      <c r="B152" s="6" t="s">
        <v>460</v>
      </c>
      <c r="C152" s="6" t="s">
        <v>70</v>
      </c>
      <c r="D152" s="7" t="s">
        <v>34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T152" s="7" t="s">
        <v>0</v>
      </c>
      <c r="U152" s="7" t="s">
        <v>0</v>
      </c>
      <c r="V152" s="16" t="str">
        <f>HYPERLINK("http://www.aruplab.com/Testing-Information/resources/HotLines/HotLineDocs/Oct2026QHL/3020324.pdf","H")</f>
        <v>H</v>
      </c>
      <c r="W152" s="16" t="str">
        <f>HYPERLINK("http://www.aruplab.com/Testing-Information/resources/HotLines/TDMix/Oct2026QHL/3020324.xlsx","T")</f>
        <v>T</v>
      </c>
      <c r="X152" s="7" t="s">
        <v>0</v>
      </c>
      <c r="Y152" s="16" t="str">
        <f>HYPERLINK("https://connect.aruplab.com/Pricing/TestPrice/3020324/D10192026","P")</f>
        <v>P</v>
      </c>
      <c r="Z152" s="8">
        <v>46314</v>
      </c>
    </row>
    <row r="153" spans="1:26" ht="45" x14ac:dyDescent="0.25">
      <c r="A153" s="6" t="s">
        <v>461</v>
      </c>
      <c r="B153" s="6" t="s">
        <v>462</v>
      </c>
      <c r="C153" s="6" t="s">
        <v>463</v>
      </c>
      <c r="D153" s="7" t="s">
        <v>34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T153" s="7" t="s">
        <v>0</v>
      </c>
      <c r="U153" s="7" t="s">
        <v>0</v>
      </c>
      <c r="V153" s="16" t="str">
        <f>HYPERLINK("http://www.aruplab.com/Testing-Information/resources/HotLines/HotLineDocs/Oct2026QHL/3020700.pdf","H")</f>
        <v>H</v>
      </c>
      <c r="W153" s="16" t="str">
        <f>HYPERLINK("http://www.aruplab.com/Testing-Information/resources/HotLines/TDMix/Oct2026QHL/3020700.xlsx","T")</f>
        <v>T</v>
      </c>
      <c r="X153" s="7" t="s">
        <v>0</v>
      </c>
      <c r="Y153" s="16" t="str">
        <f>HYPERLINK("https://connect.aruplab.com/Pricing/TestPrice/3020700/D10192026","P")</f>
        <v>P</v>
      </c>
      <c r="Z153" s="8">
        <v>46175</v>
      </c>
    </row>
    <row r="154" spans="1:26" ht="30" x14ac:dyDescent="0.25">
      <c r="A154" s="6" t="s">
        <v>464</v>
      </c>
      <c r="B154" s="6" t="s">
        <v>465</v>
      </c>
      <c r="C154" s="6" t="s">
        <v>466</v>
      </c>
      <c r="D154" s="7" t="s">
        <v>34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T154" s="7" t="s">
        <v>0</v>
      </c>
      <c r="U154" s="7" t="s">
        <v>0</v>
      </c>
      <c r="V154" s="16" t="str">
        <f>HYPERLINK("http://www.aruplab.com/Testing-Information/resources/HotLines/HotLineDocs/Oct2026QHL/3020830.pdf","H")</f>
        <v>H</v>
      </c>
      <c r="W154" s="16" t="str">
        <f>HYPERLINK("http://www.aruplab.com/Testing-Information/resources/HotLines/TDMix/Oct2026QHL/3020830.xlsx","T")</f>
        <v>T</v>
      </c>
      <c r="X154" s="16" t="str">
        <f>HYPERLINK("http://www.aruplab.com/Testing-Information/resources/HotLines/Sample_Reports/Oct2026QHL/3020830_Tropical Fever Panel by PCR_TFPPCR.pdf","E")</f>
        <v>E</v>
      </c>
      <c r="Y154" s="16" t="str">
        <f>HYPERLINK("https://connect.aruplab.com/Pricing/TestPrice/3020830/D10192026","P")</f>
        <v>P</v>
      </c>
      <c r="Z154" s="8">
        <v>46195</v>
      </c>
    </row>
    <row r="155" spans="1:26" ht="60" x14ac:dyDescent="0.25">
      <c r="A155" s="6" t="s">
        <v>467</v>
      </c>
      <c r="B155" s="6" t="s">
        <v>468</v>
      </c>
      <c r="C155" s="6" t="s">
        <v>469</v>
      </c>
      <c r="D155" s="7" t="s">
        <v>34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T155" s="7" t="s">
        <v>0</v>
      </c>
      <c r="U155" s="7" t="s">
        <v>0</v>
      </c>
      <c r="V155" s="16" t="str">
        <f>HYPERLINK("http://www.aruplab.com/Testing-Information/resources/HotLines/HotLineDocs/Oct2026QHL/3021115.pdf","H")</f>
        <v>H</v>
      </c>
      <c r="W155" s="16" t="str">
        <f>HYPERLINK("http://www.aruplab.com/Testing-Information/resources/HotLines/TDMix/Oct2026QHL/3021115.xlsx","T")</f>
        <v>T</v>
      </c>
      <c r="X155" s="7" t="s">
        <v>0</v>
      </c>
      <c r="Y155" s="16" t="str">
        <f>HYPERLINK("https://connect.aruplab.com/Pricing/TestPrice/3021115/D10192026","P")</f>
        <v>P</v>
      </c>
      <c r="Z155" s="8">
        <v>46225</v>
      </c>
    </row>
    <row r="156" spans="1:26" ht="60" x14ac:dyDescent="0.25">
      <c r="A156" s="6" t="s">
        <v>470</v>
      </c>
      <c r="B156" s="6" t="s">
        <v>471</v>
      </c>
      <c r="C156" s="6" t="s">
        <v>472</v>
      </c>
      <c r="D156" s="7" t="s">
        <v>34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T156" s="7" t="s">
        <v>0</v>
      </c>
      <c r="U156" s="7" t="s">
        <v>0</v>
      </c>
      <c r="V156" s="16" t="str">
        <f>HYPERLINK("http://www.aruplab.com/Testing-Information/resources/HotLines/HotLineDocs/Oct2026QHL/3021139.pdf","H")</f>
        <v>H</v>
      </c>
      <c r="W156" s="16" t="str">
        <f>HYPERLINK("http://www.aruplab.com/Testing-Information/resources/HotLines/TDMix/Oct2026QHL/3021139.xlsx","T")</f>
        <v>T</v>
      </c>
      <c r="X156" s="7" t="s">
        <v>0</v>
      </c>
      <c r="Y156" s="16" t="str">
        <f>HYPERLINK("https://connect.aruplab.com/Pricing/TestPrice/3021139/D10192026","P")</f>
        <v>P</v>
      </c>
      <c r="Z156" s="8">
        <v>46314</v>
      </c>
    </row>
    <row r="157" spans="1:26" ht="45" x14ac:dyDescent="0.25">
      <c r="A157" s="6" t="s">
        <v>473</v>
      </c>
      <c r="B157" s="6" t="s">
        <v>474</v>
      </c>
      <c r="C157" s="6" t="s">
        <v>475</v>
      </c>
      <c r="D157" s="7" t="s">
        <v>34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T157" s="7" t="s">
        <v>0</v>
      </c>
      <c r="U157" s="7" t="s">
        <v>0</v>
      </c>
      <c r="V157" s="16" t="str">
        <f>HYPERLINK("http://www.aruplab.com/Testing-Information/resources/HotLines/HotLineDocs/Oct2026QHL/3021140.pdf","H")</f>
        <v>H</v>
      </c>
      <c r="W157" s="16" t="str">
        <f>HYPERLINK("http://www.aruplab.com/Testing-Information/resources/HotLines/TDMix/Oct2026QHL/3021140.xlsx","T")</f>
        <v>T</v>
      </c>
      <c r="X157" s="7" t="s">
        <v>0</v>
      </c>
      <c r="Y157" s="16" t="str">
        <f>HYPERLINK("https://connect.aruplab.com/Pricing/TestPrice/3021140/D10192026","P")</f>
        <v>P</v>
      </c>
      <c r="Z157" s="8">
        <v>46314</v>
      </c>
    </row>
    <row r="158" spans="1:26" ht="60" x14ac:dyDescent="0.25">
      <c r="A158" s="6" t="s">
        <v>476</v>
      </c>
      <c r="B158" s="6" t="s">
        <v>477</v>
      </c>
      <c r="C158" s="6" t="s">
        <v>478</v>
      </c>
      <c r="D158" s="7" t="s">
        <v>34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T158" s="7" t="s">
        <v>0</v>
      </c>
      <c r="U158" s="7" t="s">
        <v>0</v>
      </c>
      <c r="V158" s="16" t="str">
        <f>HYPERLINK("http://www.aruplab.com/Testing-Information/resources/HotLines/HotLineDocs/Oct2026QHL/3021166.pdf","H")</f>
        <v>H</v>
      </c>
      <c r="W158" s="16" t="str">
        <f>HYPERLINK("http://www.aruplab.com/Testing-Information/resources/HotLines/TDMix/Oct2026QHL/3021166.xlsx","T")</f>
        <v>T</v>
      </c>
      <c r="X158" s="7" t="s">
        <v>0</v>
      </c>
      <c r="Y158" s="16" t="str">
        <f>HYPERLINK("https://connect.aruplab.com/Pricing/TestPrice/3021166/D10192026","P")</f>
        <v>P</v>
      </c>
      <c r="Z158" s="8">
        <v>46224</v>
      </c>
    </row>
    <row r="159" spans="1:26" ht="60" x14ac:dyDescent="0.25">
      <c r="A159" s="6" t="s">
        <v>479</v>
      </c>
      <c r="B159" s="6" t="s">
        <v>480</v>
      </c>
      <c r="C159" s="6" t="s">
        <v>481</v>
      </c>
      <c r="D159" s="7" t="s">
        <v>34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T159" s="7" t="s">
        <v>0</v>
      </c>
      <c r="U159" s="7" t="s">
        <v>0</v>
      </c>
      <c r="V159" s="16" t="str">
        <f>HYPERLINK("http://www.aruplab.com/Testing-Information/resources/HotLines/HotLineDocs/Oct2026QHL/3021184.pdf","H")</f>
        <v>H</v>
      </c>
      <c r="W159" s="16" t="str">
        <f>HYPERLINK("http://www.aruplab.com/Testing-Information/resources/HotLines/TDMix/Oct2026QHL/3021184.xlsx","T")</f>
        <v>T</v>
      </c>
      <c r="X159" s="7" t="s">
        <v>0</v>
      </c>
      <c r="Y159" s="16" t="str">
        <f>HYPERLINK("https://connect.aruplab.com/Pricing/TestPrice/3021184/D10192026","P")</f>
        <v>P</v>
      </c>
      <c r="Z159" s="8">
        <v>46203</v>
      </c>
    </row>
    <row r="160" spans="1:26" ht="60" x14ac:dyDescent="0.25">
      <c r="A160" s="6" t="s">
        <v>482</v>
      </c>
      <c r="B160" s="6" t="s">
        <v>483</v>
      </c>
      <c r="C160" s="6" t="s">
        <v>484</v>
      </c>
      <c r="D160" s="7" t="s">
        <v>34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T160" s="7" t="s">
        <v>0</v>
      </c>
      <c r="U160" s="7" t="s">
        <v>0</v>
      </c>
      <c r="V160" s="16" t="str">
        <f>HYPERLINK("http://www.aruplab.com/Testing-Information/resources/HotLines/HotLineDocs/Oct2026QHL/3021200.pdf","H")</f>
        <v>H</v>
      </c>
      <c r="W160" s="16" t="str">
        <f>HYPERLINK("http://www.aruplab.com/Testing-Information/resources/HotLines/TDMix/Oct2026QHL/3021200.xlsx","T")</f>
        <v>T</v>
      </c>
      <c r="X160" s="16" t="str">
        <f>HYPERLINK("http://www.aruplab.com/Testing-Information/resources/HotLines/Sample_Reports/Oct2026QHL/3021200_Aspergillus Galactofuranose Antigen by EIA, Urine_MYCOMEIA.pdf","E")</f>
        <v>E</v>
      </c>
      <c r="Y160" s="16" t="str">
        <f>HYPERLINK("https://connect.aruplab.com/Pricing/TestPrice/3021200/D10192026","P")</f>
        <v>P</v>
      </c>
      <c r="Z160" s="8">
        <v>46314</v>
      </c>
    </row>
    <row r="161" spans="1:26" ht="30" x14ac:dyDescent="0.25">
      <c r="A161" s="6" t="s">
        <v>485</v>
      </c>
      <c r="B161" s="6" t="s">
        <v>486</v>
      </c>
      <c r="C161" s="6" t="s">
        <v>487</v>
      </c>
      <c r="D161" s="7" t="s">
        <v>34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T161" s="7" t="s">
        <v>0</v>
      </c>
      <c r="U161" s="7" t="s">
        <v>0</v>
      </c>
      <c r="V161" s="16" t="str">
        <f>HYPERLINK("http://www.aruplab.com/Testing-Information/resources/HotLines/HotLineDocs/Oct2026QHL/3021214.pdf","H")</f>
        <v>H</v>
      </c>
      <c r="W161" s="16" t="str">
        <f>HYPERLINK("http://www.aruplab.com/Testing-Information/resources/HotLines/TDMix/Oct2026QHL/3021214.xlsx","T")</f>
        <v>T</v>
      </c>
      <c r="X161" s="16" t="str">
        <f>HYPERLINK("http://www.aruplab.com/Testing-Information/resources/HotLines/Sample_Reports/Oct2026QHL/3021214_C and c Antigen Typing Patient_C_C_LITTLE.pdf","E")</f>
        <v>E</v>
      </c>
      <c r="Y161" s="16" t="str">
        <f>HYPERLINK("https://connect.aruplab.com/Pricing/TestPrice/3021214/D10192026","P")</f>
        <v>P</v>
      </c>
      <c r="Z161" s="8">
        <v>46314</v>
      </c>
    </row>
    <row r="162" spans="1:26" ht="30" x14ac:dyDescent="0.25">
      <c r="A162" s="6" t="s">
        <v>488</v>
      </c>
      <c r="B162" s="6" t="s">
        <v>489</v>
      </c>
      <c r="C162" s="6" t="s">
        <v>490</v>
      </c>
      <c r="D162" s="7" t="s">
        <v>34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T162" s="7" t="s">
        <v>0</v>
      </c>
      <c r="U162" s="7" t="s">
        <v>0</v>
      </c>
      <c r="V162" s="16" t="str">
        <f>HYPERLINK("http://www.aruplab.com/Testing-Information/resources/HotLines/HotLineDocs/Oct2026QHL/3021215.pdf","H")</f>
        <v>H</v>
      </c>
      <c r="W162" s="16" t="str">
        <f>HYPERLINK("http://www.aruplab.com/Testing-Information/resources/HotLines/TDMix/Oct2026QHL/3021215.xlsx","T")</f>
        <v>T</v>
      </c>
      <c r="X162" s="16" t="str">
        <f>HYPERLINK("http://www.aruplab.com/Testing-Information/resources/HotLines/Sample_Reports/Oct2026QHL/3021215_E and e Antigen Typing Patient_E_ELITTLE.pdf","E")</f>
        <v>E</v>
      </c>
      <c r="Y162" s="16" t="str">
        <f>HYPERLINK("https://connect.aruplab.com/Pricing/TestPrice/3021215/D10192026","P")</f>
        <v>P</v>
      </c>
      <c r="Z162" s="8">
        <v>46314</v>
      </c>
    </row>
    <row r="163" spans="1:26" ht="45" x14ac:dyDescent="0.25">
      <c r="A163" s="6" t="s">
        <v>491</v>
      </c>
      <c r="B163" s="6" t="s">
        <v>492</v>
      </c>
      <c r="C163" s="6" t="s">
        <v>493</v>
      </c>
      <c r="D163" s="7" t="s">
        <v>34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T163" s="7" t="s">
        <v>0</v>
      </c>
      <c r="U163" s="7" t="s">
        <v>0</v>
      </c>
      <c r="V163" s="16" t="str">
        <f>HYPERLINK("http://www.aruplab.com/Testing-Information/resources/HotLines/HotLineDocs/Oct2026QHL/3021216.pdf","H")</f>
        <v>H</v>
      </c>
      <c r="W163" s="16" t="str">
        <f>HYPERLINK("http://www.aruplab.com/Testing-Information/resources/HotLines/TDMix/Oct2026QHL/3021216.xlsx","T")</f>
        <v>T</v>
      </c>
      <c r="X163" s="16" t="str">
        <f>HYPERLINK("http://www.aruplab.com/Testing-Information/resources/HotLines/Sample_Reports/Oct2026QHL/3021216_Fy(a) and Fy(b) Antigen Typing Patient_FYA_FYB AG.pdf","E")</f>
        <v>E</v>
      </c>
      <c r="Y163" s="16" t="str">
        <f>HYPERLINK("https://connect.aruplab.com/Pricing/TestPrice/3021216/D10192026","P")</f>
        <v>P</v>
      </c>
      <c r="Z163" s="8">
        <v>46314</v>
      </c>
    </row>
    <row r="164" spans="1:26" ht="45" x14ac:dyDescent="0.25">
      <c r="A164" s="6" t="s">
        <v>494</v>
      </c>
      <c r="B164" s="6" t="s">
        <v>495</v>
      </c>
      <c r="C164" s="6" t="s">
        <v>496</v>
      </c>
      <c r="D164" s="7" t="s">
        <v>34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T164" s="7" t="s">
        <v>0</v>
      </c>
      <c r="U164" s="7" t="s">
        <v>0</v>
      </c>
      <c r="V164" s="16" t="str">
        <f>HYPERLINK("http://www.aruplab.com/Testing-Information/resources/HotLines/HotLineDocs/Oct2026QHL/3021217.pdf","H")</f>
        <v>H</v>
      </c>
      <c r="W164" s="16" t="str">
        <f>HYPERLINK("http://www.aruplab.com/Testing-Information/resources/HotLines/TDMix/Oct2026QHL/3021217.xlsx","T")</f>
        <v>T</v>
      </c>
      <c r="X164" s="16" t="str">
        <f>HYPERLINK("http://www.aruplab.com/Testing-Information/resources/HotLines/Sample_Reports/Oct2026QHL/3021217_Jk(a) and Jk(b) Antigen Typing Patient_JKA_JKB_AG.pdf","E")</f>
        <v>E</v>
      </c>
      <c r="Y164" s="16" t="str">
        <f>HYPERLINK("https://connect.aruplab.com/Pricing/TestPrice/3021217/D10192026","P")</f>
        <v>P</v>
      </c>
      <c r="Z164" s="8">
        <v>46314</v>
      </c>
    </row>
    <row r="165" spans="1:26" ht="45" x14ac:dyDescent="0.25">
      <c r="A165" s="6" t="s">
        <v>497</v>
      </c>
      <c r="B165" s="6" t="s">
        <v>498</v>
      </c>
      <c r="C165" s="6" t="s">
        <v>499</v>
      </c>
      <c r="D165" s="7" t="s">
        <v>34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T165" s="7" t="s">
        <v>0</v>
      </c>
      <c r="U165" s="7" t="s">
        <v>0</v>
      </c>
      <c r="V165" s="16" t="str">
        <f>HYPERLINK("http://www.aruplab.com/Testing-Information/resources/HotLines/HotLineDocs/Oct2026QHL/3021218.pdf","H")</f>
        <v>H</v>
      </c>
      <c r="W165" s="16" t="str">
        <f>HYPERLINK("http://www.aruplab.com/Testing-Information/resources/HotLines/TDMix/Oct2026QHL/3021218.xlsx","T")</f>
        <v>T</v>
      </c>
      <c r="X165" s="7" t="s">
        <v>0</v>
      </c>
      <c r="Y165" s="16" t="str">
        <f>HYPERLINK("https://connect.aruplab.com/Pricing/TestPrice/3021218/D10192026","P")</f>
        <v>P</v>
      </c>
      <c r="Z165" s="8">
        <v>46314</v>
      </c>
    </row>
    <row r="166" spans="1:26" ht="30" x14ac:dyDescent="0.25">
      <c r="A166" s="6" t="s">
        <v>500</v>
      </c>
      <c r="B166" s="6" t="s">
        <v>501</v>
      </c>
      <c r="C166" s="6" t="s">
        <v>502</v>
      </c>
      <c r="D166" s="7" t="s">
        <v>34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T166" s="7" t="s">
        <v>0</v>
      </c>
      <c r="U166" s="7" t="s">
        <v>0</v>
      </c>
      <c r="V166" s="16" t="str">
        <f>HYPERLINK("http://www.aruplab.com/Testing-Information/resources/HotLines/HotLineDocs/Oct2026QHL/3021219.pdf","H")</f>
        <v>H</v>
      </c>
      <c r="W166" s="16" t="str">
        <f>HYPERLINK("http://www.aruplab.com/Testing-Information/resources/HotLines/TDMix/Oct2026QHL/3021219.xlsx","T")</f>
        <v>T</v>
      </c>
      <c r="X166" s="16" t="str">
        <f>HYPERLINK("http://www.aruplab.com/Testing-Information/resources/HotLines/Sample_Reports/Oct2026QHL/3021219_M and N Antigen Typing Patient_M_N AG.pdf","E")</f>
        <v>E</v>
      </c>
      <c r="Y166" s="16" t="str">
        <f>HYPERLINK("https://connect.aruplab.com/Pricing/TestPrice/3021219/D10192026","P")</f>
        <v>P</v>
      </c>
      <c r="Z166" s="8">
        <v>46314</v>
      </c>
    </row>
    <row r="167" spans="1:26" ht="45" x14ac:dyDescent="0.25">
      <c r="A167" s="6" t="s">
        <v>503</v>
      </c>
      <c r="B167" s="6" t="s">
        <v>504</v>
      </c>
      <c r="C167" s="6" t="s">
        <v>505</v>
      </c>
      <c r="D167" s="7" t="s">
        <v>34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T167" s="7" t="s">
        <v>0</v>
      </c>
      <c r="U167" s="7" t="s">
        <v>0</v>
      </c>
      <c r="V167" s="16" t="str">
        <f>HYPERLINK("http://www.aruplab.com/Testing-Information/resources/HotLines/HotLineDocs/Oct2026QHL/3021220.pdf","H")</f>
        <v>H</v>
      </c>
      <c r="W167" s="16" t="str">
        <f>HYPERLINK("http://www.aruplab.com/Testing-Information/resources/HotLines/TDMix/Oct2026QHL/3021220.xlsx","T")</f>
        <v>T</v>
      </c>
      <c r="X167" s="16" t="str">
        <f>HYPERLINK("http://www.aruplab.com/Testing-Information/resources/HotLines/Sample_Reports/Oct2026QHL/3021220_Le(a) and Le(b) Antigen Typing Patient_LEA_LEB AG.pdf","E")</f>
        <v>E</v>
      </c>
      <c r="Y167" s="16" t="str">
        <f>HYPERLINK("https://connect.aruplab.com/Pricing/TestPrice/3021220/D10192026","P")</f>
        <v>P</v>
      </c>
      <c r="Z167" s="8">
        <v>46314</v>
      </c>
    </row>
    <row r="168" spans="1:26" ht="45" x14ac:dyDescent="0.25">
      <c r="A168" s="6" t="s">
        <v>506</v>
      </c>
      <c r="B168" s="6" t="s">
        <v>507</v>
      </c>
      <c r="C168" s="6" t="s">
        <v>508</v>
      </c>
      <c r="D168" s="7" t="s">
        <v>34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T168" s="7" t="s">
        <v>0</v>
      </c>
      <c r="U168" s="7" t="s">
        <v>0</v>
      </c>
      <c r="V168" s="16" t="str">
        <f>HYPERLINK("http://www.aruplab.com/Testing-Information/resources/HotLines/HotLineDocs/Oct2026QHL/3021221.pdf","H")</f>
        <v>H</v>
      </c>
      <c r="W168" s="16" t="str">
        <f>HYPERLINK("http://www.aruplab.com/Testing-Information/resources/HotLines/TDMix/Oct2026QHL/3021221.xlsx","T")</f>
        <v>T</v>
      </c>
      <c r="X168" s="16" t="str">
        <f>HYPERLINK("http://www.aruplab.com/Testing-Information/resources/HotLines/Sample_Reports/Oct2026QHL/3021221_ABORH Discrepancy Investigation IRL_ABORH DISC.pdf","E")</f>
        <v>E</v>
      </c>
      <c r="Y168" s="16" t="str">
        <f>HYPERLINK("https://connect.aruplab.com/Pricing/TestPrice/3021221/D10192026","P")</f>
        <v>P</v>
      </c>
      <c r="Z168" s="8">
        <v>46314</v>
      </c>
    </row>
    <row r="169" spans="1:26" ht="30" x14ac:dyDescent="0.25">
      <c r="A169" s="6" t="s">
        <v>509</v>
      </c>
      <c r="B169" s="6" t="s">
        <v>510</v>
      </c>
      <c r="C169" s="6" t="s">
        <v>511</v>
      </c>
      <c r="D169" s="7" t="s">
        <v>34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T169" s="7" t="s">
        <v>0</v>
      </c>
      <c r="U169" s="7" t="s">
        <v>0</v>
      </c>
      <c r="V169" s="16" t="str">
        <f>HYPERLINK("http://www.aruplab.com/Testing-Information/resources/HotLines/HotLineDocs/Oct2026QHL/3021225.pdf","H")</f>
        <v>H</v>
      </c>
      <c r="W169" s="16" t="str">
        <f>HYPERLINK("http://www.aruplab.com/Testing-Information/resources/HotLines/TDMix/Oct2026QHL/3021225.xlsx","T")</f>
        <v>T</v>
      </c>
      <c r="X169" s="16" t="str">
        <f>HYPERLINK("http://www.aruplab.com/Testing-Information/resources/HotLines/Sample_Reports/Oct2026QHL/3021225_Complement Component C2_C-2.pdf","E")</f>
        <v>E</v>
      </c>
      <c r="Y169" s="16" t="str">
        <f>HYPERLINK("https://connect.aruplab.com/Pricing/TestPrice/3021225/D10192026","P")</f>
        <v>P</v>
      </c>
      <c r="Z169" s="8">
        <v>46314</v>
      </c>
    </row>
    <row r="170" spans="1:26" ht="30" x14ac:dyDescent="0.25">
      <c r="A170" s="6" t="s">
        <v>512</v>
      </c>
      <c r="B170" s="6" t="s">
        <v>513</v>
      </c>
      <c r="C170" s="6" t="s">
        <v>514</v>
      </c>
      <c r="D170" s="7" t="s">
        <v>34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T170" s="7" t="s">
        <v>0</v>
      </c>
      <c r="U170" s="7" t="s">
        <v>0</v>
      </c>
      <c r="V170" s="16" t="str">
        <f>HYPERLINK("http://www.aruplab.com/Testing-Information/resources/HotLines/HotLineDocs/Oct2026QHL/3021226.pdf","H")</f>
        <v>H</v>
      </c>
      <c r="W170" s="16" t="str">
        <f>HYPERLINK("http://www.aruplab.com/Testing-Information/resources/HotLines/TDMix/Oct2026QHL/3021226.xlsx","T")</f>
        <v>T</v>
      </c>
      <c r="X170" s="16" t="str">
        <f>HYPERLINK("http://www.aruplab.com/Testing-Information/resources/HotLines/Sample_Reports/Oct2026QHL/3021226_Complement Component C5_C-5.pdf","E")</f>
        <v>E</v>
      </c>
      <c r="Y170" s="16" t="str">
        <f>HYPERLINK("https://connect.aruplab.com/Pricing/TestPrice/3021226/D10192026","P")</f>
        <v>P</v>
      </c>
      <c r="Z170" s="8">
        <v>46314</v>
      </c>
    </row>
    <row r="171" spans="1:26" ht="75" x14ac:dyDescent="0.25">
      <c r="A171" s="6" t="s">
        <v>515</v>
      </c>
      <c r="B171" s="6" t="s">
        <v>516</v>
      </c>
      <c r="C171" s="6" t="s">
        <v>517</v>
      </c>
      <c r="D171" s="7" t="s">
        <v>34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T171" s="7" t="s">
        <v>0</v>
      </c>
      <c r="U171" s="7" t="s">
        <v>0</v>
      </c>
      <c r="V171" s="16" t="str">
        <f>HYPERLINK("http://www.aruplab.com/Testing-Information/resources/HotLines/HotLineDocs/Oct2026QHL/3021230.pdf","H")</f>
        <v>H</v>
      </c>
      <c r="W171" s="16" t="str">
        <f>HYPERLINK("http://www.aruplab.com/Testing-Information/resources/HotLines/TDMix/Oct2026QHL/3021230.xlsx","T")</f>
        <v>T</v>
      </c>
      <c r="X171" s="7" t="s">
        <v>0</v>
      </c>
      <c r="Y171" s="16" t="str">
        <f>HYPERLINK("https://connect.aruplab.com/Pricing/TestPrice/3021230/D10192026","P")</f>
        <v>P</v>
      </c>
      <c r="Z171" s="8">
        <v>46314</v>
      </c>
    </row>
    <row r="172" spans="1:26" ht="60" x14ac:dyDescent="0.25">
      <c r="A172" s="6" t="s">
        <v>518</v>
      </c>
      <c r="B172" s="6" t="s">
        <v>519</v>
      </c>
      <c r="C172" s="6" t="s">
        <v>520</v>
      </c>
      <c r="D172" s="7" t="s">
        <v>34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T172" s="7" t="s">
        <v>0</v>
      </c>
      <c r="U172" s="7" t="s">
        <v>0</v>
      </c>
      <c r="V172" s="16" t="str">
        <f>HYPERLINK("http://www.aruplab.com/Testing-Information/resources/HotLines/HotLineDocs/Oct2026QHL/3021309.pdf","H")</f>
        <v>H</v>
      </c>
      <c r="W172" s="16" t="str">
        <f>HYPERLINK("http://www.aruplab.com/Testing-Information/resources/HotLines/TDMix/Oct2026QHL/3021309.xlsx","T")</f>
        <v>T</v>
      </c>
      <c r="X172" s="16" t="str">
        <f>HYPERLINK("http://www.aruplab.com/Testing-Information/resources/HotLines/Sample_Reports/Oct2026QHL/3021309_Allergen, Food, Walnut Juglans spp Components IgE_WALNUT COM.pdf","E")</f>
        <v>E</v>
      </c>
      <c r="Y172" s="16" t="str">
        <f>HYPERLINK("https://connect.aruplab.com/Pricing/TestPrice/3021309/D10192026","P")</f>
        <v>P</v>
      </c>
      <c r="Z172" s="8">
        <v>46314</v>
      </c>
    </row>
    <row r="173" spans="1:26" ht="75" x14ac:dyDescent="0.25">
      <c r="A173" s="6" t="s">
        <v>521</v>
      </c>
      <c r="B173" s="6" t="s">
        <v>522</v>
      </c>
      <c r="C173" s="6" t="s">
        <v>523</v>
      </c>
      <c r="D173" s="7" t="s">
        <v>34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T173" s="7" t="s">
        <v>0</v>
      </c>
      <c r="U173" s="7" t="s">
        <v>0</v>
      </c>
      <c r="V173" s="16" t="str">
        <f>HYPERLINK("http://www.aruplab.com/Testing-Information/resources/HotLines/HotLineDocs/Oct2026QHL/3021341.pdf","H")</f>
        <v>H</v>
      </c>
      <c r="W173" s="16" t="str">
        <f>HYPERLINK("http://www.aruplab.com/Testing-Information/resources/HotLines/TDMix/Oct2026QHL/3021341.xlsx","T")</f>
        <v>T</v>
      </c>
      <c r="X173" s="7" t="s">
        <v>0</v>
      </c>
      <c r="Y173" s="16" t="str">
        <f>HYPERLINK("https://connect.aruplab.com/Pricing/TestPrice/3021341/D10192026","P")</f>
        <v>P</v>
      </c>
      <c r="Z173" s="8">
        <v>46245</v>
      </c>
    </row>
    <row r="174" spans="1:26" ht="7.7" customHeight="1" x14ac:dyDescent="0.25"/>
  </sheetData>
  <mergeCells count="8">
    <mergeCell ref="A5:C5"/>
    <mergeCell ref="A6:R6"/>
    <mergeCell ref="A7:R7"/>
    <mergeCell ref="A1:Z1"/>
    <mergeCell ref="A2:C2"/>
    <mergeCell ref="D2:Z2"/>
    <mergeCell ref="A3:Z3"/>
    <mergeCell ref="A4:C4"/>
  </mergeCells>
  <hyperlinks>
    <hyperlink ref="A6" r:id="rId1" xr:uid="{00000000-0004-0000-0000-000000000000}"/>
    <hyperlink ref="A7" r:id="rId2" xr:uid="{00000000-0004-0000-0000-000001000000}"/>
  </hyperlinks>
  <pageMargins left="0.75" right="0.75" top="1" bottom="1.375" header="1" footer="1"/>
  <pageSetup orientation="landscape" horizontalDpi="300" verticalDpi="300"/>
  <headerFooter alignWithMargins="0">
    <oddFooter>&amp;L&amp;"Roboto,Regular"&amp;8 ARUP Laboratories | 500 Chipeta Way | Salt Lake City, UT 84108 | 800-522-2787 | aruplab.com _x000D_&amp;1#&amp;"Aptos"&amp;10&amp;K000000 Private Information&amp;C&amp;"Roboto,Regular"&amp;10  &amp;R&amp;"Roboto"&amp;8Page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Of Changes (date dropdo</vt:lpstr>
      <vt:lpstr>'Summary Of Changes (date dropdo'!Print_Titles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Siady, Spencer H.</dc:creator>
  <cp:lastModifiedBy>bot 0001</cp:lastModifiedBy>
  <dcterms:created xsi:type="dcterms:W3CDTF">2026-08-20T19:33:19Z</dcterms:created>
  <dcterms:modified xsi:type="dcterms:W3CDTF">2026-08-31T14:11:56Z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28a15d-fe30-4bc2-853f-da171899c8c3_Enabled">
    <vt:lpwstr>true</vt:lpwstr>
  </property>
  <property fmtid="{D5CDD505-2E9C-101B-9397-08002B2CF9AE}" pid="3" name="MSIP_Label_7528a15d-fe30-4bc2-853f-da171899c8c3_SetDate">
    <vt:lpwstr>2026-08-20T19:33:08Z</vt:lpwstr>
  </property>
  <property fmtid="{D5CDD505-2E9C-101B-9397-08002B2CF9AE}" pid="4" name="MSIP_Label_7528a15d-fe30-4bc2-853f-da171899c8c3_Method">
    <vt:lpwstr>Standard</vt:lpwstr>
  </property>
  <property fmtid="{D5CDD505-2E9C-101B-9397-08002B2CF9AE}" pid="5" name="MSIP_Label_7528a15d-fe30-4bc2-853f-da171899c8c3_Name">
    <vt:lpwstr>Private Data</vt:lpwstr>
  </property>
  <property fmtid="{D5CDD505-2E9C-101B-9397-08002B2CF9AE}" pid="6" name="MSIP_Label_7528a15d-fe30-4bc2-853f-da171899c8c3_SiteId">
    <vt:lpwstr>5bd0d628-d6ea-4086-954f-69792a5faa57</vt:lpwstr>
  </property>
  <property fmtid="{D5CDD505-2E9C-101B-9397-08002B2CF9AE}" pid="7" name="MSIP_Label_7528a15d-fe30-4bc2-853f-da171899c8c3_ActionId">
    <vt:lpwstr>884874ef-e231-40b7-b22a-4b5a2e529cfd</vt:lpwstr>
  </property>
  <property fmtid="{D5CDD505-2E9C-101B-9397-08002B2CF9AE}" pid="8" name="MSIP_Label_7528a15d-fe30-4bc2-853f-da171899c8c3_ContentBits">
    <vt:lpwstr>2</vt:lpwstr>
  </property>
  <property fmtid="{D5CDD505-2E9C-101B-9397-08002B2CF9AE}" pid="9" name="MSIP_Label_7528a15d-fe30-4bc2-853f-da171899c8c3_Tag">
    <vt:lpwstr>10, 3, 0, 1</vt:lpwstr>
  </property>
</Properties>
</file>