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3B07F92E-82A3-482F-8E56-C85DD30F2B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37" i="1" l="1"/>
  <c r="Y237" i="1"/>
  <c r="X237" i="1"/>
  <c r="W237" i="1"/>
  <c r="Z236" i="1"/>
  <c r="Y236" i="1"/>
  <c r="X236" i="1"/>
  <c r="W236" i="1"/>
  <c r="Z235" i="1"/>
  <c r="X235" i="1"/>
  <c r="W235" i="1"/>
  <c r="Z234" i="1"/>
  <c r="Y234" i="1"/>
  <c r="X234" i="1"/>
  <c r="W234" i="1"/>
  <c r="Z233" i="1"/>
  <c r="Y233" i="1"/>
  <c r="X233" i="1"/>
  <c r="W233" i="1"/>
  <c r="Z232" i="1"/>
  <c r="X232" i="1"/>
  <c r="W232" i="1"/>
  <c r="Z231" i="1"/>
  <c r="Y231" i="1"/>
  <c r="X231" i="1"/>
  <c r="W231" i="1"/>
  <c r="Z230" i="1"/>
  <c r="Y230" i="1"/>
  <c r="X230" i="1"/>
  <c r="W230" i="1"/>
  <c r="Z229" i="1"/>
  <c r="Y229" i="1"/>
  <c r="X229" i="1"/>
  <c r="W229" i="1"/>
  <c r="Z228" i="1"/>
  <c r="X228" i="1"/>
  <c r="W228" i="1"/>
  <c r="Z227" i="1"/>
  <c r="X227" i="1"/>
  <c r="W227" i="1"/>
  <c r="Z226" i="1"/>
  <c r="Y226" i="1"/>
  <c r="X226" i="1"/>
  <c r="W226" i="1"/>
  <c r="Z225" i="1"/>
  <c r="X225" i="1"/>
  <c r="W225" i="1"/>
  <c r="Z224" i="1"/>
  <c r="Y224" i="1"/>
  <c r="X224" i="1"/>
  <c r="W224" i="1"/>
  <c r="Z223" i="1"/>
  <c r="Y223" i="1"/>
  <c r="X223" i="1"/>
  <c r="W223" i="1"/>
  <c r="Z222" i="1"/>
  <c r="Y222" i="1"/>
  <c r="X222" i="1"/>
  <c r="W222" i="1"/>
  <c r="Z221" i="1"/>
  <c r="Y221" i="1"/>
  <c r="X221" i="1"/>
  <c r="W221" i="1"/>
  <c r="Z220" i="1"/>
  <c r="Y220" i="1"/>
  <c r="X220" i="1"/>
  <c r="W220" i="1"/>
  <c r="Z219" i="1"/>
  <c r="Y219" i="1"/>
  <c r="X219" i="1"/>
  <c r="W219" i="1"/>
  <c r="Z218" i="1"/>
  <c r="Y218" i="1"/>
  <c r="X218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Y206" i="1"/>
  <c r="W206" i="1"/>
  <c r="Y205" i="1"/>
  <c r="X205" i="1"/>
  <c r="W205" i="1"/>
  <c r="Y204" i="1"/>
  <c r="W204" i="1"/>
  <c r="W203" i="1"/>
  <c r="W202" i="1"/>
  <c r="W201" i="1"/>
  <c r="Y200" i="1"/>
  <c r="X200" i="1"/>
  <c r="W200" i="1"/>
  <c r="Y199" i="1"/>
  <c r="X199" i="1"/>
  <c r="W199" i="1"/>
  <c r="Y198" i="1"/>
  <c r="X198" i="1"/>
  <c r="W198" i="1"/>
  <c r="Y197" i="1"/>
  <c r="X197" i="1"/>
  <c r="W197" i="1"/>
  <c r="W196" i="1"/>
  <c r="W195" i="1"/>
  <c r="W194" i="1"/>
  <c r="W193" i="1"/>
  <c r="W192" i="1"/>
  <c r="W191" i="1"/>
  <c r="W190" i="1"/>
  <c r="W189" i="1"/>
  <c r="W188" i="1"/>
  <c r="Y187" i="1"/>
  <c r="X187" i="1"/>
  <c r="W187" i="1"/>
  <c r="Y186" i="1"/>
  <c r="X186" i="1"/>
  <c r="W186" i="1"/>
  <c r="W185" i="1"/>
  <c r="W184" i="1"/>
  <c r="W183" i="1"/>
  <c r="X182" i="1"/>
  <c r="W182" i="1"/>
  <c r="X181" i="1"/>
  <c r="W181" i="1"/>
  <c r="X180" i="1"/>
  <c r="W180" i="1"/>
  <c r="X179" i="1"/>
  <c r="W179" i="1"/>
  <c r="X178" i="1"/>
  <c r="W178" i="1"/>
  <c r="Y177" i="1"/>
  <c r="X177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Y143" i="1"/>
  <c r="W143" i="1"/>
  <c r="W142" i="1"/>
  <c r="W141" i="1"/>
  <c r="W140" i="1"/>
  <c r="Y139" i="1"/>
  <c r="W139" i="1"/>
  <c r="W138" i="1"/>
  <c r="W137" i="1"/>
  <c r="W136" i="1"/>
  <c r="W135" i="1"/>
  <c r="W134" i="1"/>
  <c r="W133" i="1"/>
  <c r="W132" i="1"/>
  <c r="X131" i="1"/>
  <c r="W131" i="1"/>
  <c r="X130" i="1"/>
  <c r="W130" i="1"/>
  <c r="W129" i="1"/>
  <c r="X128" i="1"/>
  <c r="W128" i="1"/>
  <c r="X127" i="1"/>
  <c r="W127" i="1"/>
  <c r="W126" i="1"/>
  <c r="X125" i="1"/>
  <c r="W125" i="1"/>
  <c r="X124" i="1"/>
  <c r="W124" i="1"/>
  <c r="W123" i="1"/>
  <c r="W122" i="1"/>
  <c r="X121" i="1"/>
  <c r="W121" i="1"/>
  <c r="X120" i="1"/>
  <c r="W120" i="1"/>
  <c r="W119" i="1"/>
  <c r="Y118" i="1"/>
  <c r="X118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Y93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Y66" i="1"/>
  <c r="W66" i="1"/>
  <c r="W65" i="1"/>
  <c r="Y64" i="1"/>
  <c r="W64" i="1"/>
  <c r="W63" i="1"/>
  <c r="W62" i="1"/>
  <c r="Y61" i="1"/>
  <c r="W61" i="1"/>
  <c r="W60" i="1"/>
  <c r="W59" i="1"/>
  <c r="W58" i="1"/>
  <c r="W57" i="1"/>
  <c r="W56" i="1"/>
  <c r="W55" i="1"/>
  <c r="Y54" i="1"/>
  <c r="W54" i="1"/>
  <c r="Y53" i="1"/>
  <c r="W53" i="1"/>
  <c r="Y52" i="1"/>
  <c r="W52" i="1"/>
  <c r="W51" i="1"/>
  <c r="Y50" i="1"/>
  <c r="W50" i="1"/>
  <c r="W49" i="1"/>
  <c r="W48" i="1"/>
  <c r="W47" i="1"/>
  <c r="W46" i="1"/>
  <c r="W45" i="1"/>
  <c r="W44" i="1"/>
  <c r="Y43" i="1"/>
  <c r="W43" i="1"/>
  <c r="W42" i="1"/>
  <c r="Y41" i="1"/>
  <c r="W41" i="1"/>
  <c r="W40" i="1"/>
  <c r="W39" i="1"/>
  <c r="W38" i="1"/>
  <c r="Y37" i="1"/>
  <c r="W37" i="1"/>
  <c r="W36" i="1"/>
  <c r="Y35" i="1"/>
  <c r="W35" i="1"/>
  <c r="Y34" i="1"/>
  <c r="W34" i="1"/>
  <c r="Y33" i="1"/>
  <c r="W33" i="1"/>
  <c r="Y32" i="1"/>
  <c r="W32" i="1"/>
  <c r="Y31" i="1"/>
  <c r="W31" i="1"/>
  <c r="W30" i="1"/>
  <c r="W29" i="1"/>
  <c r="W28" i="1"/>
  <c r="X27" i="1"/>
  <c r="W27" i="1"/>
  <c r="X26" i="1"/>
  <c r="W26" i="1"/>
  <c r="W25" i="1"/>
  <c r="X24" i="1"/>
  <c r="W24" i="1"/>
  <c r="X23" i="1"/>
  <c r="W23" i="1"/>
  <c r="X22" i="1"/>
  <c r="W22" i="1"/>
  <c r="W21" i="1"/>
  <c r="W20" i="1"/>
  <c r="W19" i="1"/>
  <c r="W18" i="1"/>
  <c r="Y17" i="1"/>
  <c r="W17" i="1"/>
  <c r="W16" i="1"/>
  <c r="Y15" i="1"/>
  <c r="X15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<sst xmlns="http://schemas.openxmlformats.org/spreadsheetml/2006/main" count="5709" uniqueCount="721">
  <si>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</si>
  <si>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</si>
  <si>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</si>
  <si>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</si>
  <si>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</si>
  <si>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</si>
  <si>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</si>
  <si>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</si>
  <si>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</si>
  <si>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</si>
  <si>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</si>
  <si>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</si>
  <si>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</si>
  <si>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</si>
  <si>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</si>
  <si>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</si>
  <si>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</si>
  <si>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</si>
  <si>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</si>
  <si>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</si>
  <si>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</si>
  <si>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</si>
  <si>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</si>
  <si>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</si>
  <si>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</si>
  <si>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</si>
  <si>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</si>
  <si>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</si>
  <si>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</si>
  <si>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</si>
  <si>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</si>
  <si>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</si>
  <si>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0020009</t>
  </si>
  <si>
    <t>GT</t>
  </si>
  <si>
    <t>Gamma Glutamyl Transferase, Serum or Plasma</t>
  </si>
  <si>
    <t>x</t>
  </si>
  <si>
    <t>0020012</t>
  </si>
  <si>
    <t>ALDOLASE</t>
  </si>
  <si>
    <t>Aldolase, Serum</t>
  </si>
  <si>
    <t>0020045</t>
  </si>
  <si>
    <t>LA</t>
  </si>
  <si>
    <t>Lactic Acid, Plasma(Change effective as of 07/21/25: Refer to 3019650 in the July Hotline)</t>
  </si>
  <si>
    <t>0020053</t>
  </si>
  <si>
    <t>CH HDL</t>
  </si>
  <si>
    <t>HDL Cholesterol</t>
  </si>
  <si>
    <t>0020096</t>
  </si>
  <si>
    <t>COPPER</t>
  </si>
  <si>
    <t>Copper, Serum or Plasma</t>
  </si>
  <si>
    <t>0020097</t>
  </si>
  <si>
    <t>ZINC</t>
  </si>
  <si>
    <t>Zinc, Serum or Plasma</t>
  </si>
  <si>
    <t>0020098</t>
  </si>
  <si>
    <t>LEAD-WB</t>
  </si>
  <si>
    <t>Lead, Whole Blood (Venous)</t>
  </si>
  <si>
    <t>0020245</t>
  </si>
  <si>
    <t>BICARB</t>
  </si>
  <si>
    <t>Bicarbonate (HCO[3]), Urine (Change effective as of 07/21/25: Refer to 3019581 in the July Hotline)</t>
  </si>
  <si>
    <t>0020257</t>
  </si>
  <si>
    <t>LDL Direct</t>
  </si>
  <si>
    <t>LDL Cholesterol, Direct</t>
  </si>
  <si>
    <t>0020468</t>
  </si>
  <si>
    <t>CRISK E</t>
  </si>
  <si>
    <t>Lipid Panel, Extended</t>
  </si>
  <si>
    <t>0020504</t>
  </si>
  <si>
    <t>Lactic Acid, BF</t>
  </si>
  <si>
    <t>Lactic Acid, Body Fluid(Inactive as of 07/21/25)</t>
  </si>
  <si>
    <t>0020516</t>
  </si>
  <si>
    <t>LA-CF</t>
  </si>
  <si>
    <t>Lactic Acid, CSF(Change effective as of 07/21/25: Refer to 3019672 in the July Hotline)</t>
  </si>
  <si>
    <t>0020544</t>
  </si>
  <si>
    <t>ACS</t>
  </si>
  <si>
    <t>Acid Phosphatase, Total, Serum</t>
  </si>
  <si>
    <t>0020584</t>
  </si>
  <si>
    <t>HY MET B4</t>
  </si>
  <si>
    <t>Heavy Metals Panel 4, Whole Blood</t>
  </si>
  <si>
    <t>0020614</t>
  </si>
  <si>
    <t>ZPP IND</t>
  </si>
  <si>
    <t>Zinc Protoporphyrin (ZPP), Whole Blood Industrial</t>
  </si>
  <si>
    <t>0020745</t>
  </si>
  <si>
    <t>LEAD CAP</t>
  </si>
  <si>
    <t>Lead, Whole Blood (Capillary)</t>
  </si>
  <si>
    <t>0020852</t>
  </si>
  <si>
    <t>CITRIC U</t>
  </si>
  <si>
    <t>Citric Acid, Urine</t>
  </si>
  <si>
    <t>0025013</t>
  </si>
  <si>
    <t>CD EXP</t>
  </si>
  <si>
    <t>Cadmium Exposure Panel - OSHA</t>
  </si>
  <si>
    <t>0025016</t>
  </si>
  <si>
    <t>LEAD-IND</t>
  </si>
  <si>
    <t>Lead, Industrial, Whole Blood</t>
  </si>
  <si>
    <t>0025023</t>
  </si>
  <si>
    <t>SE S</t>
  </si>
  <si>
    <t>Selenium, Serum or Plasma</t>
  </si>
  <si>
    <t>0025037</t>
  </si>
  <si>
    <t>COBALT S</t>
  </si>
  <si>
    <t>Cobalt, Serum or Plasma</t>
  </si>
  <si>
    <t>0050070</t>
  </si>
  <si>
    <t>AMB</t>
  </si>
  <si>
    <t>Entamoeba histolytica (amebiasis), Antibody, IgG</t>
  </si>
  <si>
    <t>0050165</t>
  </si>
  <si>
    <t>CMV IGG</t>
  </si>
  <si>
    <t>Cytomegalovirus Antibody, IgG</t>
  </si>
  <si>
    <t>0050225</t>
  </si>
  <si>
    <t>EBV EAD</t>
  </si>
  <si>
    <t>Epstein-Barr Virus Antibody to Early D Antigen (EA-D), IgG</t>
  </si>
  <si>
    <t>0050235</t>
  </si>
  <si>
    <t>EBV G</t>
  </si>
  <si>
    <t>Epstein-Barr Virus Antibody to Viral Capsid Antigen, IgG</t>
  </si>
  <si>
    <t>0050240</t>
  </si>
  <si>
    <t>EBV M</t>
  </si>
  <si>
    <t>Epstein-Barr Virus Antibody to Viral Capsid Antigen, IgM</t>
  </si>
  <si>
    <t>0050245</t>
  </si>
  <si>
    <t>EBV NA</t>
  </si>
  <si>
    <t>Epstein-Barr Virus Antibody to Nuclear Antigen, IgG</t>
  </si>
  <si>
    <t>0050280</t>
  </si>
  <si>
    <t>HAPTO</t>
  </si>
  <si>
    <t>Haptoglobin</t>
  </si>
  <si>
    <t>0050293</t>
  </si>
  <si>
    <t>HERPES</t>
  </si>
  <si>
    <t>Herpes Simplex Virus Type 1 and/or 2 Antibodies, IgG</t>
  </si>
  <si>
    <t>0050379</t>
  </si>
  <si>
    <t>HERPICSF</t>
  </si>
  <si>
    <t>Herpes Simplex Virus Type 1 Glycoprotein G-Specific Antibody, IgG by ELISA, CSF</t>
  </si>
  <si>
    <t>0050392</t>
  </si>
  <si>
    <t>HLAB27 PCR</t>
  </si>
  <si>
    <t>Ankylosing Spondylitis (HLA-B27) Genotyping (Inactive as of 7/21/2025)</t>
  </si>
  <si>
    <t>0050394</t>
  </si>
  <si>
    <t>HER1/2CSF</t>
  </si>
  <si>
    <t>Herpes Simplex Virus Type 1 and/or 2 Antibodies, IgG, CSF</t>
  </si>
  <si>
    <t>0050521</t>
  </si>
  <si>
    <t>TOXO PAN</t>
  </si>
  <si>
    <t>Toxoplasma gondii Antibodies, IgG and IgM</t>
  </si>
  <si>
    <t>0050551</t>
  </si>
  <si>
    <t>RUBEIGM</t>
  </si>
  <si>
    <t>Rubella Antibody, IgM</t>
  </si>
  <si>
    <t>0050552</t>
  </si>
  <si>
    <t>RUBE G/M</t>
  </si>
  <si>
    <t>Rubella Antibodies, IgG and IgM</t>
  </si>
  <si>
    <t>0050553</t>
  </si>
  <si>
    <t>CMV IGM</t>
  </si>
  <si>
    <t>Cytomegalovirus Antibody, IgM</t>
  </si>
  <si>
    <t>0050557</t>
  </si>
  <si>
    <t>TOXEIGM</t>
  </si>
  <si>
    <t>Toxoplasma gondii Antibody, IgM</t>
  </si>
  <si>
    <t>0050564</t>
  </si>
  <si>
    <t>SC PAN</t>
  </si>
  <si>
    <t>Saccharomyces cerevisiae Antibodies, IgG &amp; IgA</t>
  </si>
  <si>
    <t>0050596</t>
  </si>
  <si>
    <t>PCA</t>
  </si>
  <si>
    <t>Gastric Parietal Cell Antibody, IgG</t>
  </si>
  <si>
    <t>0050600</t>
  </si>
  <si>
    <t>EBV PAN</t>
  </si>
  <si>
    <t>Epstein-Barr Virus Antibody Panel I</t>
  </si>
  <si>
    <t>0050602</t>
  </si>
  <si>
    <t>EBV PAN 2</t>
  </si>
  <si>
    <t>Epstein-Barr Virus Antibody Panel II</t>
  </si>
  <si>
    <t>0050622</t>
  </si>
  <si>
    <t>CMV PAN</t>
  </si>
  <si>
    <t>Cytomegalovirus Antibodies, IgG and IgM</t>
  </si>
  <si>
    <t>0050736</t>
  </si>
  <si>
    <t>EMAR TITER</t>
  </si>
  <si>
    <t>Endomysial Antibody, IgA by IFA</t>
  </si>
  <si>
    <t>0050770</t>
  </si>
  <si>
    <t>TOXEIGG</t>
  </si>
  <si>
    <t>Toxoplasma gondii Antibody, IgG</t>
  </si>
  <si>
    <t>0050771</t>
  </si>
  <si>
    <t>RUBEIGG</t>
  </si>
  <si>
    <t>Rubella Antibody, IgG</t>
  </si>
  <si>
    <t>0050772</t>
  </si>
  <si>
    <t>TORCH IGG</t>
  </si>
  <si>
    <t>TORCH Antibodies, IgG</t>
  </si>
  <si>
    <t>0050777</t>
  </si>
  <si>
    <t>MHA</t>
  </si>
  <si>
    <t>Treponema pallidum Antibody by TP-PA</t>
  </si>
  <si>
    <t>0050779</t>
  </si>
  <si>
    <t>DTH</t>
  </si>
  <si>
    <t>Diphtheria, Tetanus, and H. Influenzae b Antibodies, IgG</t>
  </si>
  <si>
    <t>0050791</t>
  </si>
  <si>
    <t>SSA/SSB</t>
  </si>
  <si>
    <t>Extractable Nuclear Antigen Antibodies (SSA 52, SSA 60, and SSB)</t>
  </si>
  <si>
    <t>0050905</t>
  </si>
  <si>
    <t>PHOS AB</t>
  </si>
  <si>
    <t>Phosphatidylserine Antibodies, IgG, IgM, and IgA</t>
  </si>
  <si>
    <t>0051205</t>
  </si>
  <si>
    <t>MCADPCR</t>
  </si>
  <si>
    <t>Medium Chain Acyl-CoA Dehydrogenase (ACADM) 2 Mutations (Change effective as of 07/21/25: Refer to 3019336 in the July Hotline)</t>
  </si>
  <si>
    <t>0051244</t>
  </si>
  <si>
    <t>*ASM TITER</t>
  </si>
  <si>
    <t>Smooth Muscle Antibody, IgG Titer</t>
  </si>
  <si>
    <t>0051270</t>
  </si>
  <si>
    <t>GALTDNA FE</t>
  </si>
  <si>
    <t>Galactosemia (GALT) 9 Mutations, Fetal</t>
  </si>
  <si>
    <t>0051302</t>
  </si>
  <si>
    <t>PROTHROM G</t>
  </si>
  <si>
    <t>Prothrombin Antibody, IgG</t>
  </si>
  <si>
    <t>0051368</t>
  </si>
  <si>
    <t>RHD</t>
  </si>
  <si>
    <t>RhD Gene (RHD) Copy Number (Inactive as of 7/21/25: Refer to 3019342 in the July Hotline)</t>
  </si>
  <si>
    <t>0051415</t>
  </si>
  <si>
    <t>AJP</t>
  </si>
  <si>
    <t>Ashkenazi Jewish Diseases, 16 Genes</t>
  </si>
  <si>
    <t>0051627</t>
  </si>
  <si>
    <t>EBV PAN 3</t>
  </si>
  <si>
    <t>Epstein-Barr Virus Antibody to Viral Capsid Antigen, IgG and IgA</t>
  </si>
  <si>
    <t>0051708</t>
  </si>
  <si>
    <t>HERPR PAN2</t>
  </si>
  <si>
    <t>Herpes Simplex Virus Type 1 and/or 2 Antibodies, IgG with Reflex to Type 1 and 2 Glycoprotein G-Specific Ab, IgG</t>
  </si>
  <si>
    <t>0055405</t>
  </si>
  <si>
    <t>WH F IGG</t>
  </si>
  <si>
    <t>Allergen, Insects and Venom, White-Faced Hornet IgG</t>
  </si>
  <si>
    <t>0055410</t>
  </si>
  <si>
    <t>YEL J IGG</t>
  </si>
  <si>
    <t>Allergen, Insects and Venom, Yellow Jacket IgG</t>
  </si>
  <si>
    <t>0055415</t>
  </si>
  <si>
    <t>PAP-W IGG</t>
  </si>
  <si>
    <t>Allergen, Insects and Venom, Paper Wasp IgG</t>
  </si>
  <si>
    <t>0055420</t>
  </si>
  <si>
    <t>YE F IGG</t>
  </si>
  <si>
    <t>Allergen, Insects and Venom, Yellow Hornet IgG</t>
  </si>
  <si>
    <t>0055656</t>
  </si>
  <si>
    <t>HFE PCR</t>
  </si>
  <si>
    <t>Hemochromatosis (HFE) 3 Mutations (Change effective as of 07/21/25: Refer to 3019007 in the July Hotline)</t>
  </si>
  <si>
    <t>0060217</t>
  </si>
  <si>
    <t>MA AFB</t>
  </si>
  <si>
    <t>Antimicrobial Susceptibility, AFB/Mycobacteria</t>
  </si>
  <si>
    <t>0070189</t>
  </si>
  <si>
    <t>BILE AC</t>
  </si>
  <si>
    <t>Bile Acids, Total</t>
  </si>
  <si>
    <t>0080315</t>
  </si>
  <si>
    <t>QNTPHE</t>
  </si>
  <si>
    <t>Phenylalanine Monitoring, Plasma (Change effective as of 07/21/25: Refer to 0080336)</t>
  </si>
  <si>
    <t>0080355</t>
  </si>
  <si>
    <t>TYRO</t>
  </si>
  <si>
    <t>Tyrosine, Plasma (Change effective as of 07/21/25: Refer to 0080336)</t>
  </si>
  <si>
    <t>0080525</t>
  </si>
  <si>
    <t>VIT A</t>
  </si>
  <si>
    <t>Vitamin A (Retinol), Serum or Plasma</t>
  </si>
  <si>
    <t>0081105</t>
  </si>
  <si>
    <t>CYS PAN</t>
  </si>
  <si>
    <t>Cystinuria Panel (Change effective as of 07/21/25: Refer to 2009419)</t>
  </si>
  <si>
    <t>0090284</t>
  </si>
  <si>
    <t>Almond IgG</t>
  </si>
  <si>
    <t>Allergen, Food, Almond IgG</t>
  </si>
  <si>
    <t>0090286</t>
  </si>
  <si>
    <t>Banana IgG</t>
  </si>
  <si>
    <t>Allergen, Food, Banana IgG</t>
  </si>
  <si>
    <t>0090287</t>
  </si>
  <si>
    <t>Garlic IgG</t>
  </si>
  <si>
    <t>Allergen, Food, Garlic IgG</t>
  </si>
  <si>
    <t>0090289</t>
  </si>
  <si>
    <t>Gluten IgG</t>
  </si>
  <si>
    <t>Allergen, Food, Gluten IgG</t>
  </si>
  <si>
    <t>0090291</t>
  </si>
  <si>
    <t>Whey IgG</t>
  </si>
  <si>
    <t>Allergen, Food, Whey IgG</t>
  </si>
  <si>
    <t>0093454</t>
  </si>
  <si>
    <t>FUS M IGG</t>
  </si>
  <si>
    <t>Allergen, Fungi and Molds, Fusarium proliferatum/moniliforme IgG</t>
  </si>
  <si>
    <t>0097299</t>
  </si>
  <si>
    <t>MUSH IGG</t>
  </si>
  <si>
    <t>Allergen, Food, Mushroom IgG</t>
  </si>
  <si>
    <t>0097302</t>
  </si>
  <si>
    <t>COFFEE IGG</t>
  </si>
  <si>
    <t>Allergen, Food, Coffee IgG</t>
  </si>
  <si>
    <t>0097304</t>
  </si>
  <si>
    <t>CANDIDAIGG</t>
  </si>
  <si>
    <t>Allergen, Fungi and Molds, Candida albicans IgG</t>
  </si>
  <si>
    <t>0097305</t>
  </si>
  <si>
    <t>AUREO IGG</t>
  </si>
  <si>
    <t>Allergen, Fungi and Molds, Aureobasidium pullulans IgG</t>
  </si>
  <si>
    <t>0097306</t>
  </si>
  <si>
    <t>ONION IGG</t>
  </si>
  <si>
    <t>Allergen, Food, Onion IgG</t>
  </si>
  <si>
    <t>0097307</t>
  </si>
  <si>
    <t>RHIZO IGG</t>
  </si>
  <si>
    <t>Allergen, Fungi and Molds, Rhizopus nigricans IgG</t>
  </si>
  <si>
    <t>0097308</t>
  </si>
  <si>
    <t>STEMPHBIGG</t>
  </si>
  <si>
    <t>Allergen, Stemphylium herbarum/botryosum, IgG</t>
  </si>
  <si>
    <t>0097309</t>
  </si>
  <si>
    <t>PHOMAB IGG</t>
  </si>
  <si>
    <t>Allergen, Fungi and Molds, Phoma betae IgG</t>
  </si>
  <si>
    <t>0097310</t>
  </si>
  <si>
    <t>PENI N IGG</t>
  </si>
  <si>
    <t>Allergen, Fungi and Molds, Penicillium chrysogenum/notatum IgG</t>
  </si>
  <si>
    <t>0097313</t>
  </si>
  <si>
    <t>HELMINIGG</t>
  </si>
  <si>
    <t>Allergen, Fungi and Molds, Helminthosporium halodes/Setomelanomma rostrata IgG</t>
  </si>
  <si>
    <t>0097314</t>
  </si>
  <si>
    <t>CLADO IGG</t>
  </si>
  <si>
    <t>Allergen, Fungi and Molds, Cladosporium IgG</t>
  </si>
  <si>
    <t>0097315</t>
  </si>
  <si>
    <t>Egg Yolk IgG</t>
  </si>
  <si>
    <t>Allergen, Food, Egg Yolk IgG</t>
  </si>
  <si>
    <t>0097316</t>
  </si>
  <si>
    <t>MUCOR IGG</t>
  </si>
  <si>
    <t>Allergen, Fungi and Molds, Mucor racemosus IgG</t>
  </si>
  <si>
    <t>0097323</t>
  </si>
  <si>
    <t>Rice IgG</t>
  </si>
  <si>
    <t>Allergen, Food, Rice IgG</t>
  </si>
  <si>
    <t>0097636</t>
  </si>
  <si>
    <t>Wheat IgG</t>
  </si>
  <si>
    <t>Allergen, Food, Wheat IgG</t>
  </si>
  <si>
    <t>0097641</t>
  </si>
  <si>
    <t>Potato IgG</t>
  </si>
  <si>
    <t>Allergen, Food, Potato (White) IgG</t>
  </si>
  <si>
    <t>0097642</t>
  </si>
  <si>
    <t>Rye IgG</t>
  </si>
  <si>
    <t>Allergen, Food, Rye IgG</t>
  </si>
  <si>
    <t>0097643</t>
  </si>
  <si>
    <t>Soybean IgG</t>
  </si>
  <si>
    <t>Allergen, Food, Soybean IgG</t>
  </si>
  <si>
    <t>0097644</t>
  </si>
  <si>
    <t>Tomato IgG</t>
  </si>
  <si>
    <t>Allergen, Tomato IgG</t>
  </si>
  <si>
    <t>0097647</t>
  </si>
  <si>
    <t>Orange IgG</t>
  </si>
  <si>
    <t>Allergen, Food, Orange IgG</t>
  </si>
  <si>
    <t>0097648</t>
  </si>
  <si>
    <t>Peanut IgG</t>
  </si>
  <si>
    <t>Allergen, Food, Peanut IgG</t>
  </si>
  <si>
    <t>0097649</t>
  </si>
  <si>
    <t>Pork IgG</t>
  </si>
  <si>
    <t>Allergen, Food, Pork IgG</t>
  </si>
  <si>
    <t>0097651</t>
  </si>
  <si>
    <t>Lettuce IgG</t>
  </si>
  <si>
    <t>Allergen, Food, Lettuce IgG</t>
  </si>
  <si>
    <t>0097652</t>
  </si>
  <si>
    <t>Malt IgG</t>
  </si>
  <si>
    <t>Allergen, Food, Malt IgG</t>
  </si>
  <si>
    <t>0097653</t>
  </si>
  <si>
    <t>Casein IgG</t>
  </si>
  <si>
    <t>Allergen, Food, Casein (Cow's Milk) IgG</t>
  </si>
  <si>
    <t>0097654</t>
  </si>
  <si>
    <t>Oat IgG</t>
  </si>
  <si>
    <t>Allergen, Food, Oat IgG</t>
  </si>
  <si>
    <t>0097656</t>
  </si>
  <si>
    <t>Chicken IgG</t>
  </si>
  <si>
    <t>Allergen, Food, Chicken IgG</t>
  </si>
  <si>
    <t>0097657</t>
  </si>
  <si>
    <t>Choco IgG</t>
  </si>
  <si>
    <t>Allergen, Food, Chocolate IgG</t>
  </si>
  <si>
    <t>0097658</t>
  </si>
  <si>
    <t>Corn IgG</t>
  </si>
  <si>
    <t>Allergen, Food, Corn IgG</t>
  </si>
  <si>
    <t>0097659</t>
  </si>
  <si>
    <t>Egg White G</t>
  </si>
  <si>
    <t>Allergen, Food, Egg White IgG</t>
  </si>
  <si>
    <t>0097706</t>
  </si>
  <si>
    <t>Yeast IgG</t>
  </si>
  <si>
    <t>Allergen, Food, Baker's Yeast IgG</t>
  </si>
  <si>
    <t>0097707</t>
  </si>
  <si>
    <t>Barley IgG</t>
  </si>
  <si>
    <t>Allergen, Food, Barley IgG</t>
  </si>
  <si>
    <t>0097708</t>
  </si>
  <si>
    <t>Beef IgG</t>
  </si>
  <si>
    <t>Allergen, Food, Beef IgG</t>
  </si>
  <si>
    <t>0097773</t>
  </si>
  <si>
    <t>ALTER IGG</t>
  </si>
  <si>
    <t>Allergen, Fungi and Molds, Alternaria tenuis IgG</t>
  </si>
  <si>
    <t>0098627</t>
  </si>
  <si>
    <t>KEPPRA</t>
  </si>
  <si>
    <t>Keppra (Levetiracetam)</t>
  </si>
  <si>
    <t>0098830</t>
  </si>
  <si>
    <t>CR S</t>
  </si>
  <si>
    <t>Chromium, Serum</t>
  </si>
  <si>
    <t>0099045</t>
  </si>
  <si>
    <t>Arsenic Blood</t>
  </si>
  <si>
    <t>Arsenic, Whole Blood</t>
  </si>
  <si>
    <t>0099231</t>
  </si>
  <si>
    <t>COBALT B</t>
  </si>
  <si>
    <t>Cobalt, Whole Blood</t>
  </si>
  <si>
    <t>0099249</t>
  </si>
  <si>
    <t>RIBPP</t>
  </si>
  <si>
    <t>Ribosomal P Protein Antibody</t>
  </si>
  <si>
    <t>0099266</t>
  </si>
  <si>
    <t>AL S</t>
  </si>
  <si>
    <t>Aluminum, Serum</t>
  </si>
  <si>
    <t>0099272</t>
  </si>
  <si>
    <t>MANG WB</t>
  </si>
  <si>
    <t>Manganese, Whole Blood</t>
  </si>
  <si>
    <t>0099305</t>
  </si>
  <si>
    <t>Mercury Blood</t>
  </si>
  <si>
    <t>Mercury, Whole Blood</t>
  </si>
  <si>
    <t>0099452</t>
  </si>
  <si>
    <t>NICKEL</t>
  </si>
  <si>
    <t>Nickel, Serum</t>
  </si>
  <si>
    <t>0099470</t>
  </si>
  <si>
    <t>HY MET B</t>
  </si>
  <si>
    <t>Heavy Metals Panel 3, Whole Blood</t>
  </si>
  <si>
    <t>0099478</t>
  </si>
  <si>
    <t>BS B</t>
  </si>
  <si>
    <t>Bismuth, Whole Blood</t>
  </si>
  <si>
    <t>0099592</t>
  </si>
  <si>
    <t>JO 1 IgG</t>
  </si>
  <si>
    <t>Jo-1 Antibody, IgG</t>
  </si>
  <si>
    <t>0099610</t>
  </si>
  <si>
    <t>THALB</t>
  </si>
  <si>
    <t>Thallium, Whole Blood</t>
  </si>
  <si>
    <t>0099675</t>
  </si>
  <si>
    <t>Cadmium Bld</t>
  </si>
  <si>
    <t>Cadmium, Whole Blood</t>
  </si>
  <si>
    <t>2000136</t>
  </si>
  <si>
    <t>TH REQUEST</t>
  </si>
  <si>
    <t>Cytology, ThinPrep Pap Test and Human Papillomavirus (HPV) High Risk Screen by Transcription-Mediated Amplification (TMA), With Reflex to Genotypes 16 and 18/45 (Change effective as of 07/21/25: Refer to 3018973 in the July Hotline)</t>
  </si>
  <si>
    <t>2000137</t>
  </si>
  <si>
    <t>GT REQUEST</t>
  </si>
  <si>
    <t>Cytology, ThinPrep Pap Test (Change effective as of 07/21/25: Refer to 3018968 in the July Hotline)</t>
  </si>
  <si>
    <t>2000138</t>
  </si>
  <si>
    <t>TR REQUEST</t>
  </si>
  <si>
    <t>Cytology, ThinPrep Pap Test With Reflex to Human Papillomavirus (HPV), High Risk Screen by Transcription-Mediated Amplification (TMA), With Reflex to Genotypes 16 and 18/45 (Change effective as of 07/21/25: Refer to 3018971 in the July Hotline)</t>
  </si>
  <si>
    <t>2001763</t>
  </si>
  <si>
    <t>HIRSUTISM</t>
  </si>
  <si>
    <t>Hirsutism Evaluation Panel</t>
  </si>
  <si>
    <t>2002282</t>
  </si>
  <si>
    <t>CAH 11-B HYDROX</t>
  </si>
  <si>
    <t>Congenital Adrenal Hyperplasia Panel, 11-Beta Hydroxylase Deficiency</t>
  </si>
  <si>
    <t>2003248</t>
  </si>
  <si>
    <t>DEXA TMS</t>
  </si>
  <si>
    <t>Dexamethasone, Serum or Plasma by LC-MS/MS</t>
  </si>
  <si>
    <t>2004221</t>
  </si>
  <si>
    <t>NMDA IGG</t>
  </si>
  <si>
    <t>N-methyl-D-Aspartate Receptor (NMDAR) Antibody, IgG by CBA-IFA, Serum With Reflex to Titer</t>
  </si>
  <si>
    <t>2005248</t>
  </si>
  <si>
    <t>BILCSF</t>
  </si>
  <si>
    <t>Bilirubin, CSF</t>
  </si>
  <si>
    <t>2005287</t>
  </si>
  <si>
    <t>CHROMATIN</t>
  </si>
  <si>
    <t>Chromatin Antibody, IgG</t>
  </si>
  <si>
    <t>2005405</t>
  </si>
  <si>
    <t>METREXSN</t>
  </si>
  <si>
    <t>Methotrexate, Sensitive(Change effective as of 07/21/25: Refer to 3019648 in the July Hotline)</t>
  </si>
  <si>
    <t>2005779</t>
  </si>
  <si>
    <t>PNEUMO 23</t>
  </si>
  <si>
    <t>Streptococcus pneumoniae Antibodies, IgG (23 Serotypes)</t>
  </si>
  <si>
    <t>2007192</t>
  </si>
  <si>
    <t>ADENO QNT</t>
  </si>
  <si>
    <t>Adenovirus, Quantitative PCR</t>
  </si>
  <si>
    <t>2007211</t>
  </si>
  <si>
    <t>PEANUT COM</t>
  </si>
  <si>
    <t>Allergen, Food, Peanut Components IgE</t>
  </si>
  <si>
    <t>2007213</t>
  </si>
  <si>
    <t>G FOOD PAN</t>
  </si>
  <si>
    <t>Allergens, Food, Extended Panel IgG</t>
  </si>
  <si>
    <t>2007214</t>
  </si>
  <si>
    <t>IGG MEATS</t>
  </si>
  <si>
    <t>Allergens, Food, Meat Panel IgG</t>
  </si>
  <si>
    <t>2007215</t>
  </si>
  <si>
    <t>G FOOD COM</t>
  </si>
  <si>
    <t>Allergens, Food, Common Panel IgG</t>
  </si>
  <si>
    <t>2007216</t>
  </si>
  <si>
    <t>IGG FOOD</t>
  </si>
  <si>
    <t>Allergens, Food, IgG Panel</t>
  </si>
  <si>
    <t>2007220</t>
  </si>
  <si>
    <t>ECHINO IGG</t>
  </si>
  <si>
    <t>Echinococcus Antibody, IgG</t>
  </si>
  <si>
    <t>2007463</t>
  </si>
  <si>
    <t>IODINESER</t>
  </si>
  <si>
    <t>Iodine, Serum</t>
  </si>
  <si>
    <t>2007601</t>
  </si>
  <si>
    <t>ANTI-C1Q</t>
  </si>
  <si>
    <t>Anti-C1q Antibody, IgG</t>
  </si>
  <si>
    <t>2009447</t>
  </si>
  <si>
    <t>APS/PT G</t>
  </si>
  <si>
    <t>Phosphatidylserine and Prothrombin Antibody, IgG</t>
  </si>
  <si>
    <t>2009451</t>
  </si>
  <si>
    <t>APS/PT PAN</t>
  </si>
  <si>
    <t>Phosphatidylserine and Prothrombin Antibodies, IgG and IgM</t>
  </si>
  <si>
    <t>2011418</t>
  </si>
  <si>
    <t>MC CRO</t>
  </si>
  <si>
    <t>Carbapenem-Resistant Organism Culture</t>
  </si>
  <si>
    <t>2011723</t>
  </si>
  <si>
    <t>AVOCADOIGG</t>
  </si>
  <si>
    <t>Allergen, Food, Avocado IgG</t>
  </si>
  <si>
    <t>2011725</t>
  </si>
  <si>
    <t>BROCC IGG</t>
  </si>
  <si>
    <t>Allergen, Food, Broccoli IgG</t>
  </si>
  <si>
    <t>2011727</t>
  </si>
  <si>
    <t>CASHEW IGG</t>
  </si>
  <si>
    <t>Allergen, Food, Cashew IgG</t>
  </si>
  <si>
    <t>2011729</t>
  </si>
  <si>
    <t>CHSMLD IGG</t>
  </si>
  <si>
    <t>Allergen, Food, Cheese Mold IgG</t>
  </si>
  <si>
    <t>2011731</t>
  </si>
  <si>
    <t>CLAM IGG</t>
  </si>
  <si>
    <t>Allergen, Food, Clam IgG</t>
  </si>
  <si>
    <t>2011733</t>
  </si>
  <si>
    <t>COCONUTIGG</t>
  </si>
  <si>
    <t>Allergen, Food, Coconut IgG</t>
  </si>
  <si>
    <t>2011735</t>
  </si>
  <si>
    <t>CRAB IGG</t>
  </si>
  <si>
    <t>Allergen, Food, Crab IgG</t>
  </si>
  <si>
    <t>2011737</t>
  </si>
  <si>
    <t>LOBSTERIGG</t>
  </si>
  <si>
    <t>Allergen, Food, Lobster IgG</t>
  </si>
  <si>
    <t>2011739</t>
  </si>
  <si>
    <t>OYSTER IGG</t>
  </si>
  <si>
    <t>Allergen, Food, Oyster IgG</t>
  </si>
  <si>
    <t>2011741</t>
  </si>
  <si>
    <t>PNAPPL IGG</t>
  </si>
  <si>
    <t>Allergen, Food, Pineapple IgG</t>
  </si>
  <si>
    <t>2011743</t>
  </si>
  <si>
    <t>SCALLOPIGG</t>
  </si>
  <si>
    <t>Allergen, Food, Scallop IgG</t>
  </si>
  <si>
    <t>2011745</t>
  </si>
  <si>
    <t>SHRIMP IGG</t>
  </si>
  <si>
    <t>Allergen, Food, Shrimp IgG</t>
  </si>
  <si>
    <t>2011747</t>
  </si>
  <si>
    <t>STRWBRYIGG</t>
  </si>
  <si>
    <t>Allergen, Food, Strawberry IgG</t>
  </si>
  <si>
    <t>2011749</t>
  </si>
  <si>
    <t>TUNA IGG</t>
  </si>
  <si>
    <t>Allergen, Food, Tuna IgG</t>
  </si>
  <si>
    <t>2011751</t>
  </si>
  <si>
    <t>TURKEY IGG</t>
  </si>
  <si>
    <t>Allergen, Food, Turkey IgG</t>
  </si>
  <si>
    <t>2011753</t>
  </si>
  <si>
    <t>WALNUT IGG</t>
  </si>
  <si>
    <t>Allergen, Food, Walnut IgG</t>
  </si>
  <si>
    <t>2011808</t>
  </si>
  <si>
    <t>CHIKG</t>
  </si>
  <si>
    <t>Chikungunya Antibody, IgG</t>
  </si>
  <si>
    <t>2011810</t>
  </si>
  <si>
    <t>CHIKM</t>
  </si>
  <si>
    <t>Chikungunya Antibody, IgM</t>
  </si>
  <si>
    <t>2011812</t>
  </si>
  <si>
    <t>CHIKPAN</t>
  </si>
  <si>
    <t>Chikungunya Antibodies, IgG and IgM</t>
  </si>
  <si>
    <t>2011815</t>
  </si>
  <si>
    <t>OLIVES IGG</t>
  </si>
  <si>
    <t>Allergen, Food, Olives IgG</t>
  </si>
  <si>
    <t>2011817</t>
  </si>
  <si>
    <t>CHEDCHEESE</t>
  </si>
  <si>
    <t>Allergen, Food, Cheddar Cheese IgG</t>
  </si>
  <si>
    <t>2011819</t>
  </si>
  <si>
    <t>WHOLE EGG</t>
  </si>
  <si>
    <t>Allergen, Food, Whole Egg, IgG</t>
  </si>
  <si>
    <t>2012166</t>
  </si>
  <si>
    <t>DPYD</t>
  </si>
  <si>
    <t>Dihydropyrimidine Dehydrogenase (DPYD)</t>
  </si>
  <si>
    <t>3000143</t>
  </si>
  <si>
    <t>MS QUAD</t>
  </si>
  <si>
    <t>Maternal Serum Screen, Alpha Fetoprotein, hCG, Estriol, and Inhibin A (Quad)</t>
  </si>
  <si>
    <t>3000144</t>
  </si>
  <si>
    <t>MS AFP</t>
  </si>
  <si>
    <t>Maternal Serum Screen, Alpha Fetoprotein</t>
  </si>
  <si>
    <t>3000145</t>
  </si>
  <si>
    <t>MS FTS</t>
  </si>
  <si>
    <t>Maternal Serum Screen, First Trimester, hCG, PAPP-A, NT</t>
  </si>
  <si>
    <t>3000146</t>
  </si>
  <si>
    <t>MS SEQ1</t>
  </si>
  <si>
    <t>Maternal Screening, Sequential, Specimen #1, hCG, PAPP-A, NT</t>
  </si>
  <si>
    <t>3000147</t>
  </si>
  <si>
    <t>MS INT1</t>
  </si>
  <si>
    <t>Maternal Serum Screening, Integrated, Specimen #1, PAPP-A, NT</t>
  </si>
  <si>
    <t>3000462</t>
  </si>
  <si>
    <t>IMM PLT</t>
  </si>
  <si>
    <t>Immature PLT Fraction(Inactive as of 07/21/25)</t>
  </si>
  <si>
    <t>3000876</t>
  </si>
  <si>
    <t>ASPERF IGG</t>
  </si>
  <si>
    <t>Aspergillus fumigatus Antibody IgG</t>
  </si>
  <si>
    <t>3000894</t>
  </si>
  <si>
    <t>HHACASCADE</t>
  </si>
  <si>
    <t>Hereditary Hemolytic Anemia Cascade</t>
  </si>
  <si>
    <t>3001518</t>
  </si>
  <si>
    <t>3A4/3A5</t>
  </si>
  <si>
    <t>CYP3A4 and CYP3A5</t>
  </si>
  <si>
    <t>3001524</t>
  </si>
  <si>
    <t>CYP PANEL</t>
  </si>
  <si>
    <t>Cytochrome P450 Genotyping Panel</t>
  </si>
  <si>
    <t>3001831</t>
  </si>
  <si>
    <t>CTNT</t>
  </si>
  <si>
    <t>Troponin T (cTnT) 5th Generation</t>
  </si>
  <si>
    <t>3002477</t>
  </si>
  <si>
    <t>GP210 AB</t>
  </si>
  <si>
    <t>Anti-gp210 Antibody, IgG</t>
  </si>
  <si>
    <t>3002478</t>
  </si>
  <si>
    <t>SP100 AB</t>
  </si>
  <si>
    <t>Anti-sp100 Antibody, IgG</t>
  </si>
  <si>
    <t>3002482</t>
  </si>
  <si>
    <t>SP100GP210</t>
  </si>
  <si>
    <t>Anti-sp100 and anti-gp210 Antibodies, IgG</t>
  </si>
  <si>
    <t>3002598</t>
  </si>
  <si>
    <t>PETH</t>
  </si>
  <si>
    <t>Phosphatidylethanol (PEth), Whole Blood, Quantitative</t>
  </si>
  <si>
    <t>3003043</t>
  </si>
  <si>
    <t>NIPT NGSAN</t>
  </si>
  <si>
    <t>Non-Invasive Prenatal Aneuploidy Screen by cell-free DNA Sequencing</t>
  </si>
  <si>
    <t>3003748</t>
  </si>
  <si>
    <t>IBD-PAN</t>
  </si>
  <si>
    <t>Inflammatory Bowel Disease Differentiation Panel</t>
  </si>
  <si>
    <t>3003924</t>
  </si>
  <si>
    <t>ALPHAGALPN</t>
  </si>
  <si>
    <t>Allergen, Food, Alpha-Gal (galactose-alpha-1,3-galatose) Panel</t>
  </si>
  <si>
    <t>3003992</t>
  </si>
  <si>
    <t>CARP IGG</t>
  </si>
  <si>
    <t>Carbamylated Protein (CarP) Antibody, IgG</t>
  </si>
  <si>
    <t>3004255</t>
  </si>
  <si>
    <t>CYP GD</t>
  </si>
  <si>
    <t>Cytochrome P450 Genotyping Panel, with GeneDose Access</t>
  </si>
  <si>
    <t>3004273</t>
  </si>
  <si>
    <t>CMAPFFPE</t>
  </si>
  <si>
    <t>Cytogenomic Molecular Inversion Probe Array FFPE Tissue - Products of Conception</t>
  </si>
  <si>
    <t>3004275</t>
  </si>
  <si>
    <t>FFPEARRAY</t>
  </si>
  <si>
    <t>Cytogenomic Molecular Inversion Probe Array FFPE Tissue - Oncology</t>
  </si>
  <si>
    <t>3004471</t>
  </si>
  <si>
    <t>PGX PSYCH</t>
  </si>
  <si>
    <t>Pharmacogenetics Panel: Psychotropics</t>
  </si>
  <si>
    <t>3004833</t>
  </si>
  <si>
    <t>COMPDRUGSP</t>
  </si>
  <si>
    <t>Drug Profile, Expanded Targeted Panel by LC-MS/MS, Serum/Plasma</t>
  </si>
  <si>
    <t>3005060</t>
  </si>
  <si>
    <t>COMPDRUGUR</t>
  </si>
  <si>
    <t>Drug Profile, Expanded Targeted Panel by LC-MS/MS, Urine</t>
  </si>
  <si>
    <t>3005425</t>
  </si>
  <si>
    <t>STRPOST-MO</t>
  </si>
  <si>
    <t>Chimerism, Posttransplant, Sorted Cells (Monocytes) (Inactive as of 7/21/25)</t>
  </si>
  <si>
    <t>3006066</t>
  </si>
  <si>
    <t>TOXOCARA G</t>
  </si>
  <si>
    <t>Toxocara Antibodies, IgG by ELISA</t>
  </si>
  <si>
    <t>3006366</t>
  </si>
  <si>
    <t>PGXPSYC GD</t>
  </si>
  <si>
    <t>Pharmacogenetics Panel: Psychotropics, with GeneDose Access</t>
  </si>
  <si>
    <t>3016636</t>
  </si>
  <si>
    <t>HPV PRMRY</t>
  </si>
  <si>
    <t>HPV Primary Screen by PCR With Reflex to Cytology</t>
  </si>
  <si>
    <t>3016767</t>
  </si>
  <si>
    <t>ANTI-PLA2R</t>
  </si>
  <si>
    <t>Anti-Phospholipase A2 Receptor (PLA2R) Antibody, IgG by ELISA</t>
  </si>
  <si>
    <t>3017156</t>
  </si>
  <si>
    <t>THROMRISK</t>
  </si>
  <si>
    <t>Thrombotic Risk Reflex Panel</t>
  </si>
  <si>
    <t>3017747</t>
  </si>
  <si>
    <t>HERPR CSF</t>
  </si>
  <si>
    <t>Herpes Simplex Virus Type 1 and/or 2 Antibodies, IgG (CSF) With Reflex to Type 1 and 2 Glycoprotein G-Specific Ab, IgG</t>
  </si>
  <si>
    <t>3017866</t>
  </si>
  <si>
    <t>DPYDUGT1A1</t>
  </si>
  <si>
    <t>Dihydropyrimidine Dehydrogenase (DPYD) and UPD Glucuronosyltransferase 1A1 (UGT1A1) Genotyping (Change effective as of 07/21/25: Refer to 3019841 in the July Hotline)</t>
  </si>
  <si>
    <t>3017902</t>
  </si>
  <si>
    <t>SC5B-9</t>
  </si>
  <si>
    <t>SC5b-9</t>
  </si>
  <si>
    <t>3018799</t>
  </si>
  <si>
    <t>TNUT PAN R</t>
  </si>
  <si>
    <t>Allergen, Food, Tree Nuts With Reflex to Components, IgE</t>
  </si>
  <si>
    <t>3018866</t>
  </si>
  <si>
    <t>COMBI PAN2</t>
  </si>
  <si>
    <t>Dermatomyositis and Polymyositis Panel</t>
  </si>
  <si>
    <t>3018867</t>
  </si>
  <si>
    <t>MYOS EXT2</t>
  </si>
  <si>
    <t>Extended Myositis Panel</t>
  </si>
  <si>
    <t>3018868</t>
  </si>
  <si>
    <t>POLY MYO2</t>
  </si>
  <si>
    <t>Polymyositis Panel</t>
  </si>
  <si>
    <t>3018869</t>
  </si>
  <si>
    <t>ILD PANEL2</t>
  </si>
  <si>
    <t>Interstitial Lung Disease Autoantibody Panel</t>
  </si>
  <si>
    <t>3018870</t>
  </si>
  <si>
    <t>DERM PAN2</t>
  </si>
  <si>
    <t>Dermatomyositis Autoantibody Panel</t>
  </si>
  <si>
    <t>3018968</t>
  </si>
  <si>
    <t>TP REQUEST</t>
  </si>
  <si>
    <t>ThinPrep PAP Test (Standalone)</t>
  </si>
  <si>
    <t>3018971</t>
  </si>
  <si>
    <t>TA REQUEST</t>
  </si>
  <si>
    <t>ThinPrep PAP Test With Reflex to HPV if ASCUS</t>
  </si>
  <si>
    <t>3018973</t>
  </si>
  <si>
    <t>TM REQUEST</t>
  </si>
  <si>
    <t>ThinPrep PAP Test With Co-Test HPV</t>
  </si>
  <si>
    <t>3019007</t>
  </si>
  <si>
    <t>HFEPCR</t>
  </si>
  <si>
    <t>Hemochromatosis (HFE) 3 Variants</t>
  </si>
  <si>
    <t>3019269</t>
  </si>
  <si>
    <t>MEASLESPCR</t>
  </si>
  <si>
    <t>Measles Virus by Qualitative NAAT</t>
  </si>
  <si>
    <t>3019336</t>
  </si>
  <si>
    <t>MCAD_PCR</t>
  </si>
  <si>
    <t>Medium Chain Acyl-CoA Dehydrogenase (ACADM) 2 Variants</t>
  </si>
  <si>
    <t>3019342</t>
  </si>
  <si>
    <t>RHD PCR</t>
  </si>
  <si>
    <t>RhD Gene (RHD) Copy Number by PCR</t>
  </si>
  <si>
    <t>3019353</t>
  </si>
  <si>
    <t>ICOS_IHC</t>
  </si>
  <si>
    <t>ICOS by Immunohistochemistry</t>
  </si>
  <si>
    <t>3019466</t>
  </si>
  <si>
    <t>HLA-B27PCR</t>
  </si>
  <si>
    <t>Ankylosing Spondylitis (HLA-B27) Genotyping</t>
  </si>
  <si>
    <t>3019471</t>
  </si>
  <si>
    <t>THC CRT</t>
  </si>
  <si>
    <t>THC Metabolite, with Ratio, Urine</t>
  </si>
  <si>
    <t>3019538</t>
  </si>
  <si>
    <t>H3K36MIHC</t>
  </si>
  <si>
    <t>H3K36M by Immunohistochemistry</t>
  </si>
  <si>
    <t>3019566</t>
  </si>
  <si>
    <t>HBA FGA FE</t>
  </si>
  <si>
    <t>Alpha Globin (HBA1 and HBA2) Sequencing and Deletion/Duplication, Fetal</t>
  </si>
  <si>
    <t>3019581</t>
  </si>
  <si>
    <t>BICARBON</t>
  </si>
  <si>
    <t>Bicarbonate, Urine</t>
  </si>
  <si>
    <t>3019583</t>
  </si>
  <si>
    <t>BICARB BF</t>
  </si>
  <si>
    <t>Bicarbonate, Body Fluid</t>
  </si>
  <si>
    <t>3019585</t>
  </si>
  <si>
    <t>MA CARBA5</t>
  </si>
  <si>
    <t>Antimicrobial Susceptibility - Carbapenemase Detection by CARBA5</t>
  </si>
  <si>
    <t>3019648</t>
  </si>
  <si>
    <t>METHOTREX</t>
  </si>
  <si>
    <t>Methotrexate, Serum or Plasma</t>
  </si>
  <si>
    <t>3019650</t>
  </si>
  <si>
    <t>LACTATE P</t>
  </si>
  <si>
    <t>Lactate, Plasma</t>
  </si>
  <si>
    <t>3019652</t>
  </si>
  <si>
    <t>TRBC1_IHC</t>
  </si>
  <si>
    <t>TRBC1 by Immunohistochemistry</t>
  </si>
  <si>
    <t>3019672</t>
  </si>
  <si>
    <t>LACT CSF</t>
  </si>
  <si>
    <t>Lactate, CSF</t>
  </si>
  <si>
    <t>3019841</t>
  </si>
  <si>
    <t>UGT1A1DPYD</t>
  </si>
  <si>
    <t>UPD Glucuronosyltransferase 1A1 (UGT1A1) and Dihydropyrimidine Dehydrogenase (DPYD) Genotyping</t>
  </si>
  <si>
    <t>Effective as of July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</si>
</sst>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38"/>
  <sheetViews>
    <sheetView showGridLines="0" tabSelected="1" workbookViewId="0">
      <pane ySplit="3" topLeftCell="A3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720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45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35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0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HYPERLINK("http://www.aruplab.com/Testing-Information/resources/HotLines/HotLineDocs/Jul2025QHL/0020009.pdf","H")</f>
        <v>H</v>
      </c>
      <c r="X9" s="7" t="s">
        <v>0</v>
      </c>
      <c r="Y9" s="7" t="s">
        <v>0</v>
      </c>
      <c r="Z9" s="7" t="s">
        <v>0</v>
      </c>
      <c r="AA9" s="8">
        <v>45859</v>
      </c>
    </row>
    <row r="10" spans="1:27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35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HYPERLINK("http://www.aruplab.com/Testing-Information/resources/HotLines/HotLineDocs/Jul2025QHL/0020012.pdf","H")</f>
        <v>H</v>
      </c>
      <c r="X10" s="7" t="s">
        <v>0</v>
      </c>
      <c r="Y10" s="7" t="s">
        <v>0</v>
      </c>
      <c r="Z10" s="7" t="s">
        <v>0</v>
      </c>
      <c r="AA10" s="8">
        <v>45859</v>
      </c>
    </row>
    <row r="11" spans="1:27" ht="90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35</v>
      </c>
      <c r="V11" s="7" t="s">
        <v>0</v>
      </c>
      <c r="W11" s="16" t="str">
        <f>HYPERLINK("http://www.aruplab.com/Testing-Information/resources/HotLines/HotLineDocs/Jul2025QHL/2025.06.06 Jul Quarterly Hotline Inactivations.pdf","H")</f>
        <v>H</v>
      </c>
      <c r="X11" s="7" t="s">
        <v>0</v>
      </c>
      <c r="Y11" s="7" t="s">
        <v>0</v>
      </c>
      <c r="Z11" s="7" t="s">
        <v>0</v>
      </c>
      <c r="AA11" s="8">
        <v>45859</v>
      </c>
    </row>
    <row r="12" spans="1:27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35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HYPERLINK("http://www.aruplab.com/Testing-Information/resources/HotLines/HotLineDocs/Jul2025QHL/0020053.pdf","H")</f>
        <v>H</v>
      </c>
      <c r="X12" s="7" t="s">
        <v>0</v>
      </c>
      <c r="Y12" s="7" t="s">
        <v>0</v>
      </c>
      <c r="Z12" s="7" t="s">
        <v>0</v>
      </c>
      <c r="AA12" s="8">
        <v>45859</v>
      </c>
    </row>
    <row r="13" spans="1:27" ht="30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0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35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HYPERLINK("http://www.aruplab.com/Testing-Information/resources/HotLines/HotLineDocs/Jul2025QHL/0020096.pdf","H")</f>
        <v>H</v>
      </c>
      <c r="X13" s="7" t="s">
        <v>0</v>
      </c>
      <c r="Y13" s="7" t="s">
        <v>0</v>
      </c>
      <c r="Z13" s="7" t="s">
        <v>0</v>
      </c>
      <c r="AA13" s="8">
        <v>45859</v>
      </c>
    </row>
    <row r="14" spans="1:27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35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HYPERLINK("http://www.aruplab.com/Testing-Information/resources/HotLines/HotLineDocs/Jul2025QHL/0020097.pdf","H")</f>
        <v>H</v>
      </c>
      <c r="X14" s="7" t="s">
        <v>0</v>
      </c>
      <c r="Y14" s="7" t="s">
        <v>0</v>
      </c>
      <c r="Z14" s="7" t="s">
        <v>0</v>
      </c>
      <c r="AA14" s="8">
        <v>45859</v>
      </c>
    </row>
    <row r="15" spans="1:27" ht="30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35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35</v>
      </c>
      <c r="K15" s="7" t="s">
        <v>35</v>
      </c>
      <c r="L15" s="7" t="s">
        <v>35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HYPERLINK("http://www.aruplab.com/Testing-Information/resources/HotLines/HotLineDocs/Jul2025QHL/0020098.pdf","H")</f>
        <v>H</v>
      </c>
      <c r="X15" s="16" t="str">
        <f>HYPERLINK("http://www.aruplab.com/Testing-Information/resources/HotLines/TDMix/Jul2025QHL/0020098.xlsx","T")</f>
        <v>T</v>
      </c>
      <c r="Y15" s="16" t="str">
        <f>HYPERLINK("http://www.aruplab.com/Testing-Information/resources/HotLines/Sample_Reports/Jul2025QHL/0020098_Lead Whole Blood Venous_LEAD-WB.pdf","E")</f>
        <v>E</v>
      </c>
      <c r="Z15" s="7" t="s">
        <v>0</v>
      </c>
      <c r="AA15" s="8">
        <v>45859</v>
      </c>
    </row>
    <row r="16" spans="1:27" ht="90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35</v>
      </c>
      <c r="V16" s="7" t="s">
        <v>0</v>
      </c>
      <c r="W16" s="16" t="str">
        <f>HYPERLINK("http://www.aruplab.com/Testing-Information/resources/HotLines/HotLineDocs/Jul2025QHL/2025.06.06 Jul Quarterly Hotline Inactivations.pdf","H")</f>
        <v>H</v>
      </c>
      <c r="X16" s="7" t="s">
        <v>0</v>
      </c>
      <c r="Y16" s="7" t="s">
        <v>0</v>
      </c>
      <c r="Z16" s="7" t="s">
        <v>0</v>
      </c>
      <c r="AA16" s="8">
        <v>45859</v>
      </c>
    </row>
    <row r="17" spans="1:27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35</v>
      </c>
      <c r="G17" s="7" t="s">
        <v>35</v>
      </c>
      <c r="H17" s="7" t="s">
        <v>0</v>
      </c>
      <c r="I17" s="7" t="s">
        <v>0</v>
      </c>
      <c r="J17" s="7" t="s">
        <v>35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16" t="str">
        <f>HYPERLINK("http://www.aruplab.com/Testing-Information/resources/HotLines/HotLineDocs/Jul2025QHL/0020257.pdf","H")</f>
        <v>H</v>
      </c>
      <c r="X17" s="7" t="s">
        <v>0</v>
      </c>
      <c r="Y17" s="16" t="str">
        <f>HYPERLINK("http://www.aruplab.com/Testing-Information/resources/HotLines/Sample_Reports/Jul2025QHL/0020257_LDL Cholesterol Direct_LDL D.pdf","E")</f>
        <v>E</v>
      </c>
      <c r="Z17" s="7" t="s">
        <v>0</v>
      </c>
      <c r="AA17" s="8">
        <v>45859</v>
      </c>
    </row>
    <row r="18" spans="1:27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35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HYPERLINK("http://www.aruplab.com/Testing-Information/resources/HotLines/HotLineDocs/Jul2025QHL/0020468.pdf","H")</f>
        <v>H</v>
      </c>
      <c r="X18" s="7" t="s">
        <v>0</v>
      </c>
      <c r="Y18" s="7" t="s">
        <v>0</v>
      </c>
      <c r="Z18" s="7" t="s">
        <v>0</v>
      </c>
      <c r="AA18" s="8">
        <v>45859</v>
      </c>
    </row>
    <row r="19" spans="1:27" ht="45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35</v>
      </c>
      <c r="W19" s="16" t="str">
        <f>HYPERLINK("http://www.aruplab.com/Testing-Information/resources/HotLines/HotLineDocs/Jul2025QHL/2025.06.06 Jul Quarterly Hotline Inactivations.pdf","H")</f>
        <v>H</v>
      </c>
      <c r="X19" s="7" t="s">
        <v>0</v>
      </c>
      <c r="Y19" s="7" t="s">
        <v>0</v>
      </c>
      <c r="Z19" s="7" t="s">
        <v>0</v>
      </c>
      <c r="AA19" s="8">
        <v>45859</v>
      </c>
    </row>
    <row r="20" spans="1:27" ht="75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35</v>
      </c>
      <c r="V20" s="7" t="s">
        <v>0</v>
      </c>
      <c r="W20" s="16" t="str">
        <f>HYPERLINK("http://www.aruplab.com/Testing-Information/resources/HotLines/HotLineDocs/Jul2025QHL/2025.06.06 Jul Quarterly Hotline Inactivations.pdf","H")</f>
        <v>H</v>
      </c>
      <c r="X20" s="7" t="s">
        <v>0</v>
      </c>
      <c r="Y20" s="7" t="s">
        <v>0</v>
      </c>
      <c r="Z20" s="7" t="s">
        <v>0</v>
      </c>
      <c r="AA20" s="8">
        <v>45859</v>
      </c>
    </row>
    <row r="21" spans="1:27" ht="30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35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HYPERLINK("http://www.aruplab.com/Testing-Information/resources/HotLines/HotLineDocs/Jul2025QHL/0020544.pdf","H")</f>
        <v>H</v>
      </c>
      <c r="X21" s="7" t="s">
        <v>0</v>
      </c>
      <c r="Y21" s="7" t="s">
        <v>0</v>
      </c>
      <c r="Z21" s="7" t="s">
        <v>0</v>
      </c>
      <c r="AA21" s="8">
        <v>45859</v>
      </c>
    </row>
    <row r="22" spans="1:27" ht="30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35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35</v>
      </c>
      <c r="L22" s="7" t="s">
        <v>35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16" t="str">
        <f>HYPERLINK("http://www.aruplab.com/Testing-Information/resources/HotLines/HotLineDocs/Jul2025QHL/0020584.pdf","H")</f>
        <v>H</v>
      </c>
      <c r="X22" s="16" t="str">
        <f>HYPERLINK("http://www.aruplab.com/Testing-Information/resources/HotLines/TDMix/Jul2025QHL/0020584.xlsx","T")</f>
        <v>T</v>
      </c>
      <c r="Y22" s="7" t="s">
        <v>0</v>
      </c>
      <c r="Z22" s="7" t="s">
        <v>0</v>
      </c>
      <c r="AA22" s="8">
        <v>45859</v>
      </c>
    </row>
    <row r="23" spans="1:27" ht="45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35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HYPERLINK("http://www.aruplab.com/Testing-Information/resources/HotLines/HotLineDocs/Jul2025QHL/0020614.pdf","H")</f>
        <v>H</v>
      </c>
      <c r="X23" s="16" t="str">
        <f>HYPERLINK("http://www.aruplab.com/Testing-Information/resources/HotLines/TDMix/Jul2025QHL/0020614.xlsx","T")</f>
        <v>T</v>
      </c>
      <c r="Y23" s="7" t="s">
        <v>0</v>
      </c>
      <c r="Z23" s="7" t="s">
        <v>0</v>
      </c>
      <c r="AA23" s="8">
        <v>45859</v>
      </c>
    </row>
    <row r="24" spans="1:27" ht="30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35</v>
      </c>
      <c r="F24" s="7" t="s">
        <v>35</v>
      </c>
      <c r="G24" s="7" t="s">
        <v>0</v>
      </c>
      <c r="H24" s="7" t="s">
        <v>0</v>
      </c>
      <c r="I24" s="7" t="s">
        <v>0</v>
      </c>
      <c r="J24" s="7" t="s">
        <v>35</v>
      </c>
      <c r="K24" s="7" t="s">
        <v>35</v>
      </c>
      <c r="L24" s="7" t="s">
        <v>35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HYPERLINK("http://www.aruplab.com/Testing-Information/resources/HotLines/HotLineDocs/Jul2025QHL/0020745.pdf","H")</f>
        <v>H</v>
      </c>
      <c r="X24" s="16" t="str">
        <f>HYPERLINK("http://www.aruplab.com/Testing-Information/resources/HotLines/TDMix/Jul2025QHL/0020745.xlsx","T")</f>
        <v>T</v>
      </c>
      <c r="Y24" s="7" t="s">
        <v>0</v>
      </c>
      <c r="Z24" s="7" t="s">
        <v>0</v>
      </c>
      <c r="AA24" s="8">
        <v>45859</v>
      </c>
    </row>
    <row r="25" spans="1:27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35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HYPERLINK("http://www.aruplab.com/Testing-Information/resources/HotLines/HotLineDocs/Jul2025QHL/0020852.pdf","H")</f>
        <v>H</v>
      </c>
      <c r="X25" s="7" t="s">
        <v>0</v>
      </c>
      <c r="Y25" s="7" t="s">
        <v>0</v>
      </c>
      <c r="Z25" s="7" t="s">
        <v>0</v>
      </c>
      <c r="AA25" s="8">
        <v>45859</v>
      </c>
    </row>
    <row r="26" spans="1:27" ht="3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35</v>
      </c>
      <c r="K26" s="7" t="s">
        <v>35</v>
      </c>
      <c r="L26" s="7" t="s">
        <v>35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HYPERLINK("http://www.aruplab.com/Testing-Information/resources/HotLines/HotLineDocs/Jul2025QHL/0025013.pdf","H")</f>
        <v>H</v>
      </c>
      <c r="X26" s="16" t="str">
        <f>HYPERLINK("http://www.aruplab.com/Testing-Information/resources/HotLines/TDMix/Jul2025QHL/0025013.xlsx","T")</f>
        <v>T</v>
      </c>
      <c r="Y26" s="7" t="s">
        <v>0</v>
      </c>
      <c r="Z26" s="7" t="s">
        <v>0</v>
      </c>
      <c r="AA26" s="8">
        <v>45859</v>
      </c>
    </row>
    <row r="27" spans="1:27" ht="30" x14ac:dyDescent="0.25">
      <c r="A27" s="6" t="s">
        <v>87</v>
      </c>
      <c r="B27" s="6" t="s">
        <v>88</v>
      </c>
      <c r="C27" s="6" t="s">
        <v>89</v>
      </c>
      <c r="D27" s="7" t="s">
        <v>0</v>
      </c>
      <c r="E27" s="7" t="s">
        <v>35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35</v>
      </c>
      <c r="K27" s="7" t="s">
        <v>35</v>
      </c>
      <c r="L27" s="7" t="s">
        <v>35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HYPERLINK("http://www.aruplab.com/Testing-Information/resources/HotLines/HotLineDocs/Jul2025QHL/0025016.pdf","H")</f>
        <v>H</v>
      </c>
      <c r="X27" s="16" t="str">
        <f>HYPERLINK("http://www.aruplab.com/Testing-Information/resources/HotLines/TDMix/Jul2025QHL/0025016.xlsx","T")</f>
        <v>T</v>
      </c>
      <c r="Y27" s="7" t="s">
        <v>0</v>
      </c>
      <c r="Z27" s="7" t="s">
        <v>0</v>
      </c>
      <c r="AA27" s="8">
        <v>45859</v>
      </c>
    </row>
    <row r="28" spans="1:27" ht="30" x14ac:dyDescent="0.25">
      <c r="A28" s="6" t="s">
        <v>90</v>
      </c>
      <c r="B28" s="6" t="s">
        <v>91</v>
      </c>
      <c r="C28" s="6" t="s">
        <v>92</v>
      </c>
      <c r="D28" s="7" t="s">
        <v>0</v>
      </c>
      <c r="E28" s="7" t="s">
        <v>0</v>
      </c>
      <c r="F28" s="7" t="s">
        <v>35</v>
      </c>
      <c r="G28" s="7" t="s">
        <v>0</v>
      </c>
      <c r="H28" s="7" t="s">
        <v>0</v>
      </c>
      <c r="I28" s="7" t="s">
        <v>0</v>
      </c>
      <c r="J28" s="7" t="s">
        <v>35</v>
      </c>
      <c r="K28" s="7" t="s">
        <v>0</v>
      </c>
      <c r="L28" s="7" t="s">
        <v>0</v>
      </c>
      <c r="M28" s="7" t="s">
        <v>0</v>
      </c>
      <c r="N28" s="7" t="s">
        <v>0</v>
      </c>
      <c r="O28" s="7" t="s">
        <v>0</v>
      </c>
      <c r="P28" s="7" t="s">
        <v>0</v>
      </c>
      <c r="Q28" s="7" t="s">
        <v>0</v>
      </c>
      <c r="R28" s="7" t="s">
        <v>0</v>
      </c>
      <c r="S28" s="7" t="s">
        <v>0</v>
      </c>
      <c r="T28" s="7" t="s">
        <v>0</v>
      </c>
      <c r="U28" s="7" t="s">
        <v>0</v>
      </c>
      <c r="V28" s="7" t="s">
        <v>0</v>
      </c>
      <c r="W28" s="16" t="str">
        <f>HYPERLINK("http://www.aruplab.com/Testing-Information/resources/HotLines/HotLineDocs/Jul2025QHL/0025023.pdf","H")</f>
        <v>H</v>
      </c>
      <c r="X28" s="7" t="s">
        <v>0</v>
      </c>
      <c r="Y28" s="7" t="s">
        <v>0</v>
      </c>
      <c r="Z28" s="7" t="s">
        <v>0</v>
      </c>
      <c r="AA28" s="8">
        <v>45859</v>
      </c>
    </row>
    <row r="29" spans="1:27" ht="30" x14ac:dyDescent="0.25">
      <c r="A29" s="6" t="s">
        <v>93</v>
      </c>
      <c r="B29" s="6" t="s">
        <v>94</v>
      </c>
      <c r="C29" s="6" t="s">
        <v>95</v>
      </c>
      <c r="D29" s="7" t="s">
        <v>0</v>
      </c>
      <c r="E29" s="7" t="s">
        <v>0</v>
      </c>
      <c r="F29" s="7" t="s">
        <v>35</v>
      </c>
      <c r="G29" s="7" t="s">
        <v>0</v>
      </c>
      <c r="H29" s="7" t="s">
        <v>0</v>
      </c>
      <c r="I29" s="7" t="s">
        <v>0</v>
      </c>
      <c r="J29" s="7" t="s">
        <v>35</v>
      </c>
      <c r="K29" s="7" t="s">
        <v>0</v>
      </c>
      <c r="L29" s="7" t="s">
        <v>0</v>
      </c>
      <c r="M29" s="7" t="s">
        <v>0</v>
      </c>
      <c r="N29" s="7" t="s">
        <v>0</v>
      </c>
      <c r="O29" s="7" t="s">
        <v>0</v>
      </c>
      <c r="P29" s="7" t="s">
        <v>0</v>
      </c>
      <c r="Q29" s="7" t="s">
        <v>0</v>
      </c>
      <c r="R29" s="7" t="s">
        <v>0</v>
      </c>
      <c r="S29" s="7" t="s">
        <v>0</v>
      </c>
      <c r="T29" s="7" t="s">
        <v>0</v>
      </c>
      <c r="U29" s="7" t="s">
        <v>0</v>
      </c>
      <c r="V29" s="7" t="s">
        <v>0</v>
      </c>
      <c r="W29" s="16" t="str">
        <f>HYPERLINK("http://www.aruplab.com/Testing-Information/resources/HotLines/HotLineDocs/Jul2025QHL/0025037.pdf","H")</f>
        <v>H</v>
      </c>
      <c r="X29" s="7" t="s">
        <v>0</v>
      </c>
      <c r="Y29" s="7" t="s">
        <v>0</v>
      </c>
      <c r="Z29" s="7" t="s">
        <v>0</v>
      </c>
      <c r="AA29" s="8">
        <v>45859</v>
      </c>
    </row>
    <row r="30" spans="1:27" ht="60" x14ac:dyDescent="0.25">
      <c r="A30" s="6" t="s">
        <v>96</v>
      </c>
      <c r="B30" s="6" t="s">
        <v>97</v>
      </c>
      <c r="C30" s="6" t="s">
        <v>98</v>
      </c>
      <c r="D30" s="7" t="s">
        <v>0</v>
      </c>
      <c r="E30" s="7" t="s">
        <v>0</v>
      </c>
      <c r="F30" s="7" t="s">
        <v>35</v>
      </c>
      <c r="G30" s="7" t="s">
        <v>35</v>
      </c>
      <c r="H30" s="7" t="s">
        <v>35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  <c r="U30" s="7" t="s">
        <v>0</v>
      </c>
      <c r="V30" s="7" t="s">
        <v>0</v>
      </c>
      <c r="W30" s="16" t="str">
        <f>HYPERLINK("http://www.aruplab.com/Testing-Information/resources/HotLines/HotLineDocs/Jul2025QHL/0050070.pdf","H")</f>
        <v>H</v>
      </c>
      <c r="X30" s="7" t="s">
        <v>0</v>
      </c>
      <c r="Y30" s="7" t="s">
        <v>0</v>
      </c>
      <c r="Z30" s="7" t="s">
        <v>0</v>
      </c>
      <c r="AA30" s="8">
        <v>45859</v>
      </c>
    </row>
    <row r="31" spans="1:27" ht="30" x14ac:dyDescent="0.25">
      <c r="A31" s="6" t="s">
        <v>99</v>
      </c>
      <c r="B31" s="6" t="s">
        <v>100</v>
      </c>
      <c r="C31" s="6" t="s">
        <v>101</v>
      </c>
      <c r="D31" s="7" t="s">
        <v>0</v>
      </c>
      <c r="E31" s="7" t="s">
        <v>0</v>
      </c>
      <c r="F31" s="7" t="s">
        <v>35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35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  <c r="U31" s="7" t="s">
        <v>0</v>
      </c>
      <c r="V31" s="7" t="s">
        <v>0</v>
      </c>
      <c r="W31" s="16" t="str">
        <f>HYPERLINK("http://www.aruplab.com/Testing-Information/resources/HotLines/HotLineDocs/Jul2025QHL/0050165.pdf","H")</f>
        <v>H</v>
      </c>
      <c r="X31" s="7" t="s">
        <v>0</v>
      </c>
      <c r="Y31" s="16" t="str">
        <f>HYPERLINK("http://www.aruplab.com/Testing-Information/resources/HotLines/Sample_Reports/Jul2025QHL/0050165_Cytomegalovirus Antibody, IgG_CMV  IGG.pdf","E")</f>
        <v>E</v>
      </c>
      <c r="Z31" s="7" t="s">
        <v>0</v>
      </c>
      <c r="AA31" s="8">
        <v>45859</v>
      </c>
    </row>
    <row r="32" spans="1:27" ht="45" x14ac:dyDescent="0.25">
      <c r="A32" s="6" t="s">
        <v>102</v>
      </c>
      <c r="B32" s="6" t="s">
        <v>103</v>
      </c>
      <c r="C32" s="6" t="s">
        <v>104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7" t="s">
        <v>0</v>
      </c>
      <c r="J32" s="7" t="s">
        <v>35</v>
      </c>
      <c r="K32" s="7" t="s">
        <v>35</v>
      </c>
      <c r="L32" s="7" t="s">
        <v>0</v>
      </c>
      <c r="M32" s="7" t="s">
        <v>0</v>
      </c>
      <c r="N32" s="7" t="s">
        <v>0</v>
      </c>
      <c r="O32" s="7" t="s">
        <v>0</v>
      </c>
      <c r="P32" s="7" t="s">
        <v>0</v>
      </c>
      <c r="Q32" s="7" t="s">
        <v>0</v>
      </c>
      <c r="R32" s="7" t="s">
        <v>0</v>
      </c>
      <c r="S32" s="7" t="s">
        <v>0</v>
      </c>
      <c r="T32" s="7" t="s">
        <v>0</v>
      </c>
      <c r="U32" s="7" t="s">
        <v>0</v>
      </c>
      <c r="V32" s="7" t="s">
        <v>0</v>
      </c>
      <c r="W32" s="16" t="str">
        <f>HYPERLINK("http://www.aruplab.com/Testing-Information/resources/HotLines/HotLineDocs/Jul2025QHL/0050225.pdf","H")</f>
        <v>H</v>
      </c>
      <c r="X32" s="7" t="s">
        <v>0</v>
      </c>
      <c r="Y32" s="16" t="str">
        <f>HYPERLINK("http://www.aruplab.com/Testing-Information/resources/HotLines/Sample_Reports/Jul2025QHL/0050225_Epstein-Barr Virus Antibody to Early D Antigen EA-D IgG_EBV EAD.pdf","E")</f>
        <v>E</v>
      </c>
      <c r="Z32" s="7" t="s">
        <v>0</v>
      </c>
      <c r="AA32" s="8">
        <v>45859</v>
      </c>
    </row>
    <row r="33" spans="1:27" ht="45" x14ac:dyDescent="0.25">
      <c r="A33" s="6" t="s">
        <v>105</v>
      </c>
      <c r="B33" s="6" t="s">
        <v>106</v>
      </c>
      <c r="C33" s="6" t="s">
        <v>107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35</v>
      </c>
      <c r="K33" s="7" t="s">
        <v>35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16" t="str">
        <f>HYPERLINK("http://www.aruplab.com/Testing-Information/resources/HotLines/HotLineDocs/Jul2025QHL/0050235.pdf","H")</f>
        <v>H</v>
      </c>
      <c r="X33" s="7" t="s">
        <v>0</v>
      </c>
      <c r="Y33" s="16" t="str">
        <f>HYPERLINK("http://www.aruplab.com/Testing-Information/resources/HotLines/Sample_Reports/Jul2025QHL/0050235_Epstein-Barr Virus Antibody to Viral Capsid Antigen IgG_EBV G.pdf","E")</f>
        <v>E</v>
      </c>
      <c r="Z33" s="7" t="s">
        <v>0</v>
      </c>
      <c r="AA33" s="8">
        <v>45859</v>
      </c>
    </row>
    <row r="34" spans="1:27" ht="45" x14ac:dyDescent="0.25">
      <c r="A34" s="6" t="s">
        <v>108</v>
      </c>
      <c r="B34" s="6" t="s">
        <v>109</v>
      </c>
      <c r="C34" s="6" t="s">
        <v>110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35</v>
      </c>
      <c r="K34" s="7" t="s">
        <v>35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16" t="str">
        <f>HYPERLINK("http://www.aruplab.com/Testing-Information/resources/HotLines/HotLineDocs/Jul2025QHL/0050240.pdf","H")</f>
        <v>H</v>
      </c>
      <c r="X34" s="7" t="s">
        <v>0</v>
      </c>
      <c r="Y34" s="16" t="str">
        <f>HYPERLINK("http://www.aruplab.com/Testing-Information/resources/HotLines/Sample_Reports/Jul2025QHL/0050240_Epstein-Barr Virus Antibody to Viral Capsid Antigen IgM_EBV M.pdf","E")</f>
        <v>E</v>
      </c>
      <c r="Z34" s="7" t="s">
        <v>0</v>
      </c>
      <c r="AA34" s="8">
        <v>45859</v>
      </c>
    </row>
    <row r="35" spans="1:27" ht="45" x14ac:dyDescent="0.25">
      <c r="A35" s="6" t="s">
        <v>111</v>
      </c>
      <c r="B35" s="6" t="s">
        <v>112</v>
      </c>
      <c r="C35" s="6" t="s">
        <v>113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35</v>
      </c>
      <c r="K35" s="7" t="s">
        <v>35</v>
      </c>
      <c r="L35" s="7" t="s">
        <v>0</v>
      </c>
      <c r="M35" s="7" t="s">
        <v>0</v>
      </c>
      <c r="N35" s="7" t="s">
        <v>0</v>
      </c>
      <c r="O35" s="7" t="s">
        <v>0</v>
      </c>
      <c r="P35" s="7" t="s">
        <v>0</v>
      </c>
      <c r="Q35" s="7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16" t="str">
        <f>HYPERLINK("http://www.aruplab.com/Testing-Information/resources/HotLines/HotLineDocs/Jul2025QHL/0050245.pdf","H")</f>
        <v>H</v>
      </c>
      <c r="X35" s="7" t="s">
        <v>0</v>
      </c>
      <c r="Y35" s="16" t="str">
        <f>HYPERLINK("http://www.aruplab.com/Testing-Information/resources/HotLines/Sample_Reports/Jul2025QHL/0050245_Epstein-Barr Virus Antibody to Nuclear Antigen IgG_EBV NA.pdf","E")</f>
        <v>E</v>
      </c>
      <c r="Z35" s="7" t="s">
        <v>0</v>
      </c>
      <c r="AA35" s="8">
        <v>45859</v>
      </c>
    </row>
    <row r="36" spans="1:27" x14ac:dyDescent="0.25">
      <c r="A36" s="6" t="s">
        <v>114</v>
      </c>
      <c r="B36" s="6" t="s">
        <v>115</v>
      </c>
      <c r="C36" s="6" t="s">
        <v>116</v>
      </c>
      <c r="D36" s="7" t="s">
        <v>0</v>
      </c>
      <c r="E36" s="7" t="s">
        <v>0</v>
      </c>
      <c r="F36" s="7" t="s">
        <v>35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7" t="s">
        <v>0</v>
      </c>
      <c r="P36" s="7" t="s">
        <v>0</v>
      </c>
      <c r="Q36" s="7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16" t="str">
        <f>HYPERLINK("http://www.aruplab.com/Testing-Information/resources/HotLines/HotLineDocs/Jul2025QHL/0050280.pdf","H")</f>
        <v>H</v>
      </c>
      <c r="X36" s="7" t="s">
        <v>0</v>
      </c>
      <c r="Y36" s="7" t="s">
        <v>0</v>
      </c>
      <c r="Z36" s="7" t="s">
        <v>0</v>
      </c>
      <c r="AA36" s="8">
        <v>45859</v>
      </c>
    </row>
    <row r="37" spans="1:27" ht="45" x14ac:dyDescent="0.25">
      <c r="A37" s="6" t="s">
        <v>117</v>
      </c>
      <c r="B37" s="6" t="s">
        <v>118</v>
      </c>
      <c r="C37" s="6" t="s">
        <v>119</v>
      </c>
      <c r="D37" s="7" t="s">
        <v>0</v>
      </c>
      <c r="E37" s="7" t="s">
        <v>0</v>
      </c>
      <c r="F37" s="7" t="s">
        <v>35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35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16" t="str">
        <f>HYPERLINK("http://www.aruplab.com/Testing-Information/resources/HotLines/HotLineDocs/Jul2025QHL/0050293.pdf","H")</f>
        <v>H</v>
      </c>
      <c r="X37" s="7" t="s">
        <v>0</v>
      </c>
      <c r="Y37" s="16" t="str">
        <f>HYPERLINK("http://www.aruplab.com/Testing-Information/resources/HotLines/Sample_Reports/Jul2025QHL/0050293_Herpes Simplex Virus Type 1 and or 2 Antibodies, IgG_HERPES.pdf","E")</f>
        <v>E</v>
      </c>
      <c r="Z37" s="7" t="s">
        <v>0</v>
      </c>
      <c r="AA37" s="8">
        <v>45859</v>
      </c>
    </row>
    <row r="38" spans="1:27" ht="60" x14ac:dyDescent="0.25">
      <c r="A38" s="6" t="s">
        <v>120</v>
      </c>
      <c r="B38" s="6" t="s">
        <v>121</v>
      </c>
      <c r="C38" s="6" t="s">
        <v>122</v>
      </c>
      <c r="D38" s="7" t="s">
        <v>0</v>
      </c>
      <c r="E38" s="7" t="s">
        <v>0</v>
      </c>
      <c r="F38" s="7" t="s">
        <v>35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7" t="s">
        <v>0</v>
      </c>
      <c r="P38" s="7" t="s">
        <v>0</v>
      </c>
      <c r="Q38" s="7" t="s">
        <v>0</v>
      </c>
      <c r="R38" s="7" t="s">
        <v>0</v>
      </c>
      <c r="S38" s="7" t="s">
        <v>0</v>
      </c>
      <c r="T38" s="7" t="s">
        <v>0</v>
      </c>
      <c r="U38" s="7" t="s">
        <v>0</v>
      </c>
      <c r="V38" s="7" t="s">
        <v>0</v>
      </c>
      <c r="W38" s="16" t="str">
        <f>HYPERLINK("http://www.aruplab.com/Testing-Information/resources/HotLines/HotLineDocs/Jul2025QHL/0050379.pdf","H")</f>
        <v>H</v>
      </c>
      <c r="X38" s="7" t="s">
        <v>0</v>
      </c>
      <c r="Y38" s="7" t="s">
        <v>0</v>
      </c>
      <c r="Z38" s="7" t="s">
        <v>0</v>
      </c>
      <c r="AA38" s="8">
        <v>45859</v>
      </c>
    </row>
    <row r="39" spans="1:27" ht="60" x14ac:dyDescent="0.25">
      <c r="A39" s="6" t="s">
        <v>123</v>
      </c>
      <c r="B39" s="6" t="s">
        <v>124</v>
      </c>
      <c r="C39" s="6" t="s">
        <v>125</v>
      </c>
      <c r="D39" s="7" t="s">
        <v>0</v>
      </c>
      <c r="E39" s="7" t="s">
        <v>0</v>
      </c>
      <c r="F39" s="7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7" t="s">
        <v>0</v>
      </c>
      <c r="N39" s="7" t="s">
        <v>0</v>
      </c>
      <c r="O39" s="7" t="s">
        <v>0</v>
      </c>
      <c r="P39" s="7" t="s">
        <v>0</v>
      </c>
      <c r="Q39" s="7" t="s">
        <v>0</v>
      </c>
      <c r="R39" s="7" t="s">
        <v>0</v>
      </c>
      <c r="S39" s="7" t="s">
        <v>0</v>
      </c>
      <c r="T39" s="7" t="s">
        <v>0</v>
      </c>
      <c r="U39" s="7" t="s">
        <v>0</v>
      </c>
      <c r="V39" s="7" t="s">
        <v>35</v>
      </c>
      <c r="W39" s="16" t="str">
        <f>HYPERLINK("http://www.aruplab.com/Testing-Information/resources/HotLines/HotLineDocs/Jul2025QHL/2025.06.06 Jul Quarterly Hotline Inactivations.pdf","H")</f>
        <v>H</v>
      </c>
      <c r="X39" s="7" t="s">
        <v>0</v>
      </c>
      <c r="Y39" s="7" t="s">
        <v>0</v>
      </c>
      <c r="Z39" s="7" t="s">
        <v>0</v>
      </c>
      <c r="AA39" s="8">
        <v>45859</v>
      </c>
    </row>
    <row r="40" spans="1:27" ht="45" x14ac:dyDescent="0.25">
      <c r="A40" s="6" t="s">
        <v>126</v>
      </c>
      <c r="B40" s="6" t="s">
        <v>127</v>
      </c>
      <c r="C40" s="6" t="s">
        <v>128</v>
      </c>
      <c r="D40" s="7" t="s">
        <v>0</v>
      </c>
      <c r="E40" s="7" t="s">
        <v>0</v>
      </c>
      <c r="F40" s="7" t="s">
        <v>35</v>
      </c>
      <c r="G40" s="7" t="s">
        <v>0</v>
      </c>
      <c r="H40" s="7" t="s">
        <v>0</v>
      </c>
      <c r="I40" s="7" t="s">
        <v>0</v>
      </c>
      <c r="J40" s="7" t="s">
        <v>0</v>
      </c>
      <c r="K40" s="7" t="s">
        <v>0</v>
      </c>
      <c r="L40" s="7" t="s">
        <v>0</v>
      </c>
      <c r="M40" s="7" t="s">
        <v>0</v>
      </c>
      <c r="N40" s="7" t="s">
        <v>0</v>
      </c>
      <c r="O40" s="7" t="s">
        <v>0</v>
      </c>
      <c r="P40" s="7" t="s">
        <v>0</v>
      </c>
      <c r="Q40" s="7" t="s">
        <v>0</v>
      </c>
      <c r="R40" s="7" t="s">
        <v>0</v>
      </c>
      <c r="S40" s="7" t="s">
        <v>0</v>
      </c>
      <c r="T40" s="7" t="s">
        <v>0</v>
      </c>
      <c r="U40" s="7" t="s">
        <v>0</v>
      </c>
      <c r="V40" s="7" t="s">
        <v>0</v>
      </c>
      <c r="W40" s="16" t="str">
        <f>HYPERLINK("http://www.aruplab.com/Testing-Information/resources/HotLines/HotLineDocs/Jul2025QHL/0050394.pdf","H")</f>
        <v>H</v>
      </c>
      <c r="X40" s="7" t="s">
        <v>0</v>
      </c>
      <c r="Y40" s="7" t="s">
        <v>0</v>
      </c>
      <c r="Z40" s="7" t="s">
        <v>0</v>
      </c>
      <c r="AA40" s="8">
        <v>45859</v>
      </c>
    </row>
    <row r="41" spans="1:27" ht="45" x14ac:dyDescent="0.25">
      <c r="A41" s="6" t="s">
        <v>129</v>
      </c>
      <c r="B41" s="6" t="s">
        <v>130</v>
      </c>
      <c r="C41" s="6" t="s">
        <v>131</v>
      </c>
      <c r="D41" s="7" t="s">
        <v>0</v>
      </c>
      <c r="E41" s="7" t="s">
        <v>0</v>
      </c>
      <c r="F41" s="7" t="s">
        <v>35</v>
      </c>
      <c r="G41" s="7" t="s">
        <v>0</v>
      </c>
      <c r="H41" s="7" t="s">
        <v>0</v>
      </c>
      <c r="I41" s="7" t="s">
        <v>0</v>
      </c>
      <c r="J41" s="7" t="s">
        <v>35</v>
      </c>
      <c r="K41" s="7" t="s">
        <v>35</v>
      </c>
      <c r="L41" s="7" t="s">
        <v>0</v>
      </c>
      <c r="M41" s="7" t="s">
        <v>0</v>
      </c>
      <c r="N41" s="7" t="s">
        <v>0</v>
      </c>
      <c r="O41" s="7" t="s">
        <v>0</v>
      </c>
      <c r="P41" s="7" t="s">
        <v>0</v>
      </c>
      <c r="Q41" s="7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16" t="str">
        <f>HYPERLINK("http://www.aruplab.com/Testing-Information/resources/HotLines/HotLineDocs/Jul2025QHL/0050521.pdf","H")</f>
        <v>H</v>
      </c>
      <c r="X41" s="7" t="s">
        <v>0</v>
      </c>
      <c r="Y41" s="16" t="str">
        <f>HYPERLINK("http://www.aruplab.com/Testing-Information/resources/HotLines/Sample_Reports/Jul2025QHL/0050521_Toxoplasma gondil Antibodies, IgG and IgM_TOXO PAN.pdf","E")</f>
        <v>E</v>
      </c>
      <c r="Z41" s="7" t="s">
        <v>0</v>
      </c>
      <c r="AA41" s="8">
        <v>45859</v>
      </c>
    </row>
    <row r="42" spans="1:27" x14ac:dyDescent="0.25">
      <c r="A42" s="6" t="s">
        <v>132</v>
      </c>
      <c r="B42" s="6" t="s">
        <v>133</v>
      </c>
      <c r="C42" s="6" t="s">
        <v>134</v>
      </c>
      <c r="D42" s="7" t="s">
        <v>0</v>
      </c>
      <c r="E42" s="7" t="s">
        <v>0</v>
      </c>
      <c r="F42" s="7" t="s">
        <v>35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 t="s">
        <v>0</v>
      </c>
      <c r="S42" s="7" t="s">
        <v>0</v>
      </c>
      <c r="T42" s="7" t="s">
        <v>0</v>
      </c>
      <c r="U42" s="7" t="s">
        <v>0</v>
      </c>
      <c r="V42" s="7" t="s">
        <v>0</v>
      </c>
      <c r="W42" s="16" t="str">
        <f>HYPERLINK("http://www.aruplab.com/Testing-Information/resources/HotLines/HotLineDocs/Jul2025QHL/0050551.pdf","H")</f>
        <v>H</v>
      </c>
      <c r="X42" s="7" t="s">
        <v>0</v>
      </c>
      <c r="Y42" s="7" t="s">
        <v>0</v>
      </c>
      <c r="Z42" s="7" t="s">
        <v>0</v>
      </c>
      <c r="AA42" s="8">
        <v>45859</v>
      </c>
    </row>
    <row r="43" spans="1:27" ht="30" x14ac:dyDescent="0.25">
      <c r="A43" s="6" t="s">
        <v>135</v>
      </c>
      <c r="B43" s="6" t="s">
        <v>136</v>
      </c>
      <c r="C43" s="6" t="s">
        <v>137</v>
      </c>
      <c r="D43" s="7" t="s">
        <v>0</v>
      </c>
      <c r="E43" s="7" t="s">
        <v>0</v>
      </c>
      <c r="F43" s="7" t="s">
        <v>35</v>
      </c>
      <c r="G43" s="7" t="s">
        <v>0</v>
      </c>
      <c r="H43" s="7" t="s">
        <v>0</v>
      </c>
      <c r="I43" s="7" t="s">
        <v>0</v>
      </c>
      <c r="J43" s="7" t="s">
        <v>35</v>
      </c>
      <c r="K43" s="7" t="s">
        <v>35</v>
      </c>
      <c r="L43" s="7" t="s">
        <v>0</v>
      </c>
      <c r="M43" s="7" t="s">
        <v>0</v>
      </c>
      <c r="N43" s="7" t="s">
        <v>0</v>
      </c>
      <c r="O43" s="7" t="s">
        <v>0</v>
      </c>
      <c r="P43" s="7" t="s">
        <v>0</v>
      </c>
      <c r="Q43" s="7" t="s">
        <v>0</v>
      </c>
      <c r="R43" s="7" t="s">
        <v>0</v>
      </c>
      <c r="S43" s="7" t="s">
        <v>0</v>
      </c>
      <c r="T43" s="7" t="s">
        <v>0</v>
      </c>
      <c r="U43" s="7" t="s">
        <v>0</v>
      </c>
      <c r="V43" s="7" t="s">
        <v>0</v>
      </c>
      <c r="W43" s="16" t="str">
        <f>HYPERLINK("http://www.aruplab.com/Testing-Information/resources/HotLines/HotLineDocs/Jul2025QHL/0050552.pdf","H")</f>
        <v>H</v>
      </c>
      <c r="X43" s="7" t="s">
        <v>0</v>
      </c>
      <c r="Y43" s="16" t="str">
        <f>HYPERLINK("http://www.aruplab.com/Testing-Information/resources/HotLines/Sample_Reports/Jul2025QHL/0050552_Rubella Antibodies, IgG and IgM_RUBE GM.pdf","E")</f>
        <v>E</v>
      </c>
      <c r="Z43" s="7" t="s">
        <v>0</v>
      </c>
      <c r="AA43" s="8">
        <v>45859</v>
      </c>
    </row>
    <row r="44" spans="1:27" ht="30" x14ac:dyDescent="0.25">
      <c r="A44" s="6" t="s">
        <v>138</v>
      </c>
      <c r="B44" s="6" t="s">
        <v>139</v>
      </c>
      <c r="C44" s="6" t="s">
        <v>140</v>
      </c>
      <c r="D44" s="7" t="s">
        <v>0</v>
      </c>
      <c r="E44" s="7" t="s">
        <v>0</v>
      </c>
      <c r="F44" s="7" t="s">
        <v>35</v>
      </c>
      <c r="G44" s="7" t="s">
        <v>0</v>
      </c>
      <c r="H44" s="7" t="s">
        <v>0</v>
      </c>
      <c r="I44" s="7" t="s">
        <v>0</v>
      </c>
      <c r="J44" s="7" t="s">
        <v>0</v>
      </c>
      <c r="K44" s="7" t="s">
        <v>0</v>
      </c>
      <c r="L44" s="7" t="s">
        <v>0</v>
      </c>
      <c r="M44" s="7" t="s">
        <v>0</v>
      </c>
      <c r="N44" s="7" t="s">
        <v>0</v>
      </c>
      <c r="O44" s="7" t="s">
        <v>0</v>
      </c>
      <c r="P44" s="7" t="s">
        <v>0</v>
      </c>
      <c r="Q44" s="7" t="s">
        <v>0</v>
      </c>
      <c r="R44" s="7" t="s">
        <v>0</v>
      </c>
      <c r="S44" s="7" t="s">
        <v>0</v>
      </c>
      <c r="T44" s="7" t="s">
        <v>0</v>
      </c>
      <c r="U44" s="7" t="s">
        <v>0</v>
      </c>
      <c r="V44" s="7" t="s">
        <v>0</v>
      </c>
      <c r="W44" s="16" t="str">
        <f>HYPERLINK("http://www.aruplab.com/Testing-Information/resources/HotLines/HotLineDocs/Jul2025QHL/0050553.pdf","H")</f>
        <v>H</v>
      </c>
      <c r="X44" s="7" t="s">
        <v>0</v>
      </c>
      <c r="Y44" s="7" t="s">
        <v>0</v>
      </c>
      <c r="Z44" s="7" t="s">
        <v>0</v>
      </c>
      <c r="AA44" s="8">
        <v>45859</v>
      </c>
    </row>
    <row r="45" spans="1:27" ht="30" x14ac:dyDescent="0.25">
      <c r="A45" s="6" t="s">
        <v>141</v>
      </c>
      <c r="B45" s="6" t="s">
        <v>142</v>
      </c>
      <c r="C45" s="6" t="s">
        <v>143</v>
      </c>
      <c r="D45" s="7" t="s">
        <v>0</v>
      </c>
      <c r="E45" s="7" t="s">
        <v>0</v>
      </c>
      <c r="F45" s="7" t="s">
        <v>35</v>
      </c>
      <c r="G45" s="7" t="s">
        <v>0</v>
      </c>
      <c r="H45" s="7" t="s">
        <v>0</v>
      </c>
      <c r="I45" s="7" t="s">
        <v>0</v>
      </c>
      <c r="J45" s="7" t="s">
        <v>0</v>
      </c>
      <c r="K45" s="7" t="s">
        <v>0</v>
      </c>
      <c r="L45" s="7" t="s">
        <v>0</v>
      </c>
      <c r="M45" s="7" t="s">
        <v>0</v>
      </c>
      <c r="N45" s="7" t="s">
        <v>0</v>
      </c>
      <c r="O45" s="7" t="s">
        <v>0</v>
      </c>
      <c r="P45" s="7" t="s">
        <v>0</v>
      </c>
      <c r="Q45" s="7" t="s">
        <v>0</v>
      </c>
      <c r="R45" s="7" t="s">
        <v>0</v>
      </c>
      <c r="S45" s="7" t="s">
        <v>0</v>
      </c>
      <c r="T45" s="7" t="s">
        <v>0</v>
      </c>
      <c r="U45" s="7" t="s">
        <v>0</v>
      </c>
      <c r="V45" s="7" t="s">
        <v>0</v>
      </c>
      <c r="W45" s="16" t="str">
        <f>HYPERLINK("http://www.aruplab.com/Testing-Information/resources/HotLines/HotLineDocs/Jul2025QHL/0050557.pdf","H")</f>
        <v>H</v>
      </c>
      <c r="X45" s="7" t="s">
        <v>0</v>
      </c>
      <c r="Y45" s="7" t="s">
        <v>0</v>
      </c>
      <c r="Z45" s="7" t="s">
        <v>0</v>
      </c>
      <c r="AA45" s="8">
        <v>45859</v>
      </c>
    </row>
    <row r="46" spans="1:27" ht="45" x14ac:dyDescent="0.25">
      <c r="A46" s="6" t="s">
        <v>144</v>
      </c>
      <c r="B46" s="6" t="s">
        <v>145</v>
      </c>
      <c r="C46" s="6" t="s">
        <v>146</v>
      </c>
      <c r="D46" s="7" t="s">
        <v>0</v>
      </c>
      <c r="E46" s="7" t="s">
        <v>0</v>
      </c>
      <c r="F46" s="7" t="s">
        <v>0</v>
      </c>
      <c r="G46" s="7" t="s">
        <v>0</v>
      </c>
      <c r="H46" s="7" t="s">
        <v>35</v>
      </c>
      <c r="I46" s="7" t="s">
        <v>0</v>
      </c>
      <c r="J46" s="7" t="s">
        <v>0</v>
      </c>
      <c r="K46" s="7" t="s">
        <v>0</v>
      </c>
      <c r="L46" s="7" t="s">
        <v>0</v>
      </c>
      <c r="M46" s="7" t="s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 t="s">
        <v>0</v>
      </c>
      <c r="S46" s="7" t="s">
        <v>0</v>
      </c>
      <c r="T46" s="7" t="s">
        <v>0</v>
      </c>
      <c r="U46" s="7" t="s">
        <v>0</v>
      </c>
      <c r="V46" s="7" t="s">
        <v>0</v>
      </c>
      <c r="W46" s="16" t="str">
        <f>HYPERLINK("http://www.aruplab.com/Testing-Information/resources/HotLines/HotLineDocs/Jul2025QHL/0050564.pdf","H")</f>
        <v>H</v>
      </c>
      <c r="X46" s="7" t="s">
        <v>0</v>
      </c>
      <c r="Y46" s="7" t="s">
        <v>0</v>
      </c>
      <c r="Z46" s="7" t="s">
        <v>0</v>
      </c>
      <c r="AA46" s="8">
        <v>45859</v>
      </c>
    </row>
    <row r="47" spans="1:27" ht="30" x14ac:dyDescent="0.25">
      <c r="A47" s="6" t="s">
        <v>147</v>
      </c>
      <c r="B47" s="6" t="s">
        <v>148</v>
      </c>
      <c r="C47" s="6" t="s">
        <v>149</v>
      </c>
      <c r="D47" s="7" t="s">
        <v>0</v>
      </c>
      <c r="E47" s="7" t="s">
        <v>0</v>
      </c>
      <c r="F47" s="7" t="s">
        <v>0</v>
      </c>
      <c r="G47" s="7" t="s">
        <v>0</v>
      </c>
      <c r="H47" s="7" t="s">
        <v>35</v>
      </c>
      <c r="I47" s="7" t="s">
        <v>0</v>
      </c>
      <c r="J47" s="7" t="s">
        <v>0</v>
      </c>
      <c r="K47" s="7" t="s">
        <v>0</v>
      </c>
      <c r="L47" s="7" t="s">
        <v>0</v>
      </c>
      <c r="M47" s="7" t="s">
        <v>0</v>
      </c>
      <c r="N47" s="7" t="s">
        <v>0</v>
      </c>
      <c r="O47" s="7" t="s">
        <v>0</v>
      </c>
      <c r="P47" s="7" t="s">
        <v>0</v>
      </c>
      <c r="Q47" s="7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16" t="str">
        <f>HYPERLINK("http://www.aruplab.com/Testing-Information/resources/HotLines/HotLineDocs/Jul2025QHL/0050596.pdf","H")</f>
        <v>H</v>
      </c>
      <c r="X47" s="7" t="s">
        <v>0</v>
      </c>
      <c r="Y47" s="7" t="s">
        <v>0</v>
      </c>
      <c r="Z47" s="7" t="s">
        <v>0</v>
      </c>
      <c r="AA47" s="8">
        <v>45859</v>
      </c>
    </row>
    <row r="48" spans="1:27" ht="30" x14ac:dyDescent="0.25">
      <c r="A48" s="6" t="s">
        <v>150</v>
      </c>
      <c r="B48" s="6" t="s">
        <v>151</v>
      </c>
      <c r="C48" s="6" t="s">
        <v>152</v>
      </c>
      <c r="D48" s="7" t="s">
        <v>0</v>
      </c>
      <c r="E48" s="7" t="s">
        <v>0</v>
      </c>
      <c r="F48" s="7" t="s">
        <v>0</v>
      </c>
      <c r="G48" s="7" t="s">
        <v>0</v>
      </c>
      <c r="H48" s="7" t="s">
        <v>0</v>
      </c>
      <c r="I48" s="7" t="s">
        <v>0</v>
      </c>
      <c r="J48" s="7" t="s">
        <v>0</v>
      </c>
      <c r="K48" s="7" t="s">
        <v>35</v>
      </c>
      <c r="L48" s="7" t="s">
        <v>0</v>
      </c>
      <c r="M48" s="7" t="s">
        <v>0</v>
      </c>
      <c r="N48" s="7" t="s">
        <v>0</v>
      </c>
      <c r="O48" s="7" t="s">
        <v>0</v>
      </c>
      <c r="P48" s="7" t="s">
        <v>0</v>
      </c>
      <c r="Q48" s="7" t="s">
        <v>0</v>
      </c>
      <c r="R48" s="7" t="s">
        <v>0</v>
      </c>
      <c r="S48" s="7" t="s">
        <v>0</v>
      </c>
      <c r="T48" s="7" t="s">
        <v>0</v>
      </c>
      <c r="U48" s="7" t="s">
        <v>0</v>
      </c>
      <c r="V48" s="7" t="s">
        <v>0</v>
      </c>
      <c r="W48" s="16" t="str">
        <f>HYPERLINK("http://www.aruplab.com/Testing-Information/resources/HotLines/HotLineDocs/Jul2025QHL/0050600.pdf","H")</f>
        <v>H</v>
      </c>
      <c r="X48" s="7" t="s">
        <v>0</v>
      </c>
      <c r="Y48" s="7" t="s">
        <v>0</v>
      </c>
      <c r="Z48" s="7" t="s">
        <v>0</v>
      </c>
      <c r="AA48" s="8">
        <v>45859</v>
      </c>
    </row>
    <row r="49" spans="1:27" ht="30" x14ac:dyDescent="0.25">
      <c r="A49" s="6" t="s">
        <v>153</v>
      </c>
      <c r="B49" s="6" t="s">
        <v>154</v>
      </c>
      <c r="C49" s="6" t="s">
        <v>155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7" t="s">
        <v>35</v>
      </c>
      <c r="L49" s="7" t="s">
        <v>0</v>
      </c>
      <c r="M49" s="7" t="s">
        <v>0</v>
      </c>
      <c r="N49" s="7" t="s">
        <v>0</v>
      </c>
      <c r="O49" s="7" t="s">
        <v>0</v>
      </c>
      <c r="P49" s="7" t="s">
        <v>0</v>
      </c>
      <c r="Q49" s="7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16" t="str">
        <f>HYPERLINK("http://www.aruplab.com/Testing-Information/resources/HotLines/HotLineDocs/Jul2025QHL/0050602.pdf","H")</f>
        <v>H</v>
      </c>
      <c r="X49" s="7" t="s">
        <v>0</v>
      </c>
      <c r="Y49" s="7" t="s">
        <v>0</v>
      </c>
      <c r="Z49" s="7" t="s">
        <v>0</v>
      </c>
      <c r="AA49" s="8">
        <v>45859</v>
      </c>
    </row>
    <row r="50" spans="1:27" ht="45" x14ac:dyDescent="0.25">
      <c r="A50" s="6" t="s">
        <v>156</v>
      </c>
      <c r="B50" s="6" t="s">
        <v>157</v>
      </c>
      <c r="C50" s="6" t="s">
        <v>158</v>
      </c>
      <c r="D50" s="7" t="s">
        <v>0</v>
      </c>
      <c r="E50" s="7" t="s">
        <v>0</v>
      </c>
      <c r="F50" s="7" t="s">
        <v>35</v>
      </c>
      <c r="G50" s="7" t="s">
        <v>0</v>
      </c>
      <c r="H50" s="7" t="s">
        <v>0</v>
      </c>
      <c r="I50" s="7" t="s">
        <v>0</v>
      </c>
      <c r="J50" s="7" t="s">
        <v>35</v>
      </c>
      <c r="K50" s="7" t="s">
        <v>35</v>
      </c>
      <c r="L50" s="7" t="s">
        <v>0</v>
      </c>
      <c r="M50" s="7" t="s">
        <v>0</v>
      </c>
      <c r="N50" s="7" t="s">
        <v>0</v>
      </c>
      <c r="O50" s="7" t="s">
        <v>0</v>
      </c>
      <c r="P50" s="7" t="s">
        <v>0</v>
      </c>
      <c r="Q50" s="7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16" t="str">
        <f>HYPERLINK("http://www.aruplab.com/Testing-Information/resources/HotLines/HotLineDocs/Jul2025QHL/0050622.pdf","H")</f>
        <v>H</v>
      </c>
      <c r="X50" s="7" t="s">
        <v>0</v>
      </c>
      <c r="Y50" s="16" t="str">
        <f>HYPERLINK("http://www.aruplab.com/Testing-Information/resources/HotLines/Sample_Reports/Jul2025QHL/0050622_Cytomegalovirus Antibodies, IgG and IgM_CMV PAN.pdf","E")</f>
        <v>E</v>
      </c>
      <c r="Z50" s="7" t="s">
        <v>0</v>
      </c>
      <c r="AA50" s="8">
        <v>45859</v>
      </c>
    </row>
    <row r="51" spans="1:27" ht="30" x14ac:dyDescent="0.25">
      <c r="A51" s="6" t="s">
        <v>159</v>
      </c>
      <c r="B51" s="6" t="s">
        <v>160</v>
      </c>
      <c r="C51" s="6" t="s">
        <v>161</v>
      </c>
      <c r="D51" s="7" t="s">
        <v>0</v>
      </c>
      <c r="E51" s="7" t="s">
        <v>0</v>
      </c>
      <c r="F51" s="7" t="s">
        <v>35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7" t="s">
        <v>0</v>
      </c>
      <c r="P51" s="7" t="s">
        <v>0</v>
      </c>
      <c r="Q51" s="7" t="s">
        <v>0</v>
      </c>
      <c r="R51" s="7" t="s">
        <v>0</v>
      </c>
      <c r="S51" s="7" t="s">
        <v>0</v>
      </c>
      <c r="T51" s="7" t="s">
        <v>0</v>
      </c>
      <c r="U51" s="7" t="s">
        <v>0</v>
      </c>
      <c r="V51" s="7" t="s">
        <v>0</v>
      </c>
      <c r="W51" s="16" t="str">
        <f>HYPERLINK("http://www.aruplab.com/Testing-Information/resources/HotLines/HotLineDocs/Jul2025QHL/0050736.pdf","H")</f>
        <v>H</v>
      </c>
      <c r="X51" s="7" t="s">
        <v>0</v>
      </c>
      <c r="Y51" s="7" t="s">
        <v>0</v>
      </c>
      <c r="Z51" s="7" t="s">
        <v>0</v>
      </c>
      <c r="AA51" s="8">
        <v>45859</v>
      </c>
    </row>
    <row r="52" spans="1:27" ht="30" x14ac:dyDescent="0.25">
      <c r="A52" s="6" t="s">
        <v>162</v>
      </c>
      <c r="B52" s="6" t="s">
        <v>163</v>
      </c>
      <c r="C52" s="6" t="s">
        <v>164</v>
      </c>
      <c r="D52" s="7" t="s">
        <v>0</v>
      </c>
      <c r="E52" s="7" t="s">
        <v>0</v>
      </c>
      <c r="F52" s="7" t="s">
        <v>35</v>
      </c>
      <c r="G52" s="7" t="s">
        <v>0</v>
      </c>
      <c r="H52" s="7" t="s">
        <v>0</v>
      </c>
      <c r="I52" s="7" t="s">
        <v>0</v>
      </c>
      <c r="J52" s="7" t="s">
        <v>0</v>
      </c>
      <c r="K52" s="7" t="s">
        <v>35</v>
      </c>
      <c r="L52" s="7" t="s">
        <v>0</v>
      </c>
      <c r="M52" s="7" t="s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16" t="str">
        <f>HYPERLINK("http://www.aruplab.com/Testing-Information/resources/HotLines/HotLineDocs/Jul2025QHL/0050770.pdf","H")</f>
        <v>H</v>
      </c>
      <c r="X52" s="7" t="s">
        <v>0</v>
      </c>
      <c r="Y52" s="16" t="str">
        <f>HYPERLINK("http://www.aruplab.com/Testing-Information/resources/HotLines/Sample_Reports/Jul2025QHL/0050770_Toxoplasma gondil Antibody, IgG_TOXEIGG.pdf","E")</f>
        <v>E</v>
      </c>
      <c r="Z52" s="7" t="s">
        <v>0</v>
      </c>
      <c r="AA52" s="8">
        <v>45859</v>
      </c>
    </row>
    <row r="53" spans="1:27" x14ac:dyDescent="0.25">
      <c r="A53" s="6" t="s">
        <v>165</v>
      </c>
      <c r="B53" s="6" t="s">
        <v>166</v>
      </c>
      <c r="C53" s="6" t="s">
        <v>167</v>
      </c>
      <c r="D53" s="7" t="s">
        <v>0</v>
      </c>
      <c r="E53" s="7" t="s">
        <v>0</v>
      </c>
      <c r="F53" s="7" t="s">
        <v>35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35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16" t="str">
        <f>HYPERLINK("http://www.aruplab.com/Testing-Information/resources/HotLines/HotLineDocs/Jul2025QHL/0050771.pdf","H")</f>
        <v>H</v>
      </c>
      <c r="X53" s="7" t="s">
        <v>0</v>
      </c>
      <c r="Y53" s="16" t="str">
        <f>HYPERLINK("http://www.aruplab.com/Testing-Information/resources/HotLines/Sample_Reports/Jul2025QHL/0050771_Rubella Antibody, IgG_RUBEIGG.pdf","E")</f>
        <v>E</v>
      </c>
      <c r="Z53" s="7" t="s">
        <v>0</v>
      </c>
      <c r="AA53" s="8">
        <v>45859</v>
      </c>
    </row>
    <row r="54" spans="1:27" ht="30" x14ac:dyDescent="0.25">
      <c r="A54" s="6" t="s">
        <v>168</v>
      </c>
      <c r="B54" s="6" t="s">
        <v>169</v>
      </c>
      <c r="C54" s="6" t="s">
        <v>170</v>
      </c>
      <c r="D54" s="7" t="s">
        <v>0</v>
      </c>
      <c r="E54" s="7" t="s">
        <v>0</v>
      </c>
      <c r="F54" s="7" t="s">
        <v>35</v>
      </c>
      <c r="G54" s="7" t="s">
        <v>0</v>
      </c>
      <c r="H54" s="7" t="s">
        <v>0</v>
      </c>
      <c r="I54" s="7" t="s">
        <v>0</v>
      </c>
      <c r="J54" s="7" t="s">
        <v>35</v>
      </c>
      <c r="K54" s="7" t="s">
        <v>35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  <c r="S54" s="7" t="s">
        <v>0</v>
      </c>
      <c r="T54" s="7" t="s">
        <v>0</v>
      </c>
      <c r="U54" s="7" t="s">
        <v>0</v>
      </c>
      <c r="V54" s="7" t="s">
        <v>0</v>
      </c>
      <c r="W54" s="16" t="str">
        <f>HYPERLINK("http://www.aruplab.com/Testing-Information/resources/HotLines/HotLineDocs/Jul2025QHL/0050772.pdf","H")</f>
        <v>H</v>
      </c>
      <c r="X54" s="7" t="s">
        <v>0</v>
      </c>
      <c r="Y54" s="16" t="str">
        <f>HYPERLINK("http://www.aruplab.com/Testing-Information/resources/HotLines/Sample_Reports/Jul2025QHL/0050772_TORCH Antibodies, IgG_TORCH IGG.pdf","E")</f>
        <v>E</v>
      </c>
      <c r="Z54" s="7" t="s">
        <v>0</v>
      </c>
      <c r="AA54" s="8">
        <v>45859</v>
      </c>
    </row>
    <row r="55" spans="1:27" ht="30" x14ac:dyDescent="0.25">
      <c r="A55" s="6" t="s">
        <v>171</v>
      </c>
      <c r="B55" s="6" t="s">
        <v>172</v>
      </c>
      <c r="C55" s="6" t="s">
        <v>173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35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7" t="s">
        <v>0</v>
      </c>
      <c r="P55" s="7" t="s">
        <v>0</v>
      </c>
      <c r="Q55" s="7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16" t="str">
        <f>HYPERLINK("http://www.aruplab.com/Testing-Information/resources/HotLines/HotLineDocs/Jul2025QHL/0050777.pdf","H")</f>
        <v>H</v>
      </c>
      <c r="X55" s="7" t="s">
        <v>0</v>
      </c>
      <c r="Y55" s="7" t="s">
        <v>0</v>
      </c>
      <c r="Z55" s="7" t="s">
        <v>0</v>
      </c>
      <c r="AA55" s="8">
        <v>45859</v>
      </c>
    </row>
    <row r="56" spans="1:27" ht="45" x14ac:dyDescent="0.25">
      <c r="A56" s="6" t="s">
        <v>174</v>
      </c>
      <c r="B56" s="6" t="s">
        <v>175</v>
      </c>
      <c r="C56" s="6" t="s">
        <v>176</v>
      </c>
      <c r="D56" s="7" t="s">
        <v>0</v>
      </c>
      <c r="E56" s="7" t="s">
        <v>0</v>
      </c>
      <c r="F56" s="7" t="s">
        <v>35</v>
      </c>
      <c r="G56" s="7" t="s">
        <v>0</v>
      </c>
      <c r="H56" s="7" t="s">
        <v>0</v>
      </c>
      <c r="I56" s="7" t="s">
        <v>0</v>
      </c>
      <c r="J56" s="7" t="s">
        <v>0</v>
      </c>
      <c r="K56" s="7" t="s">
        <v>0</v>
      </c>
      <c r="L56" s="7" t="s">
        <v>0</v>
      </c>
      <c r="M56" s="7" t="s">
        <v>0</v>
      </c>
      <c r="N56" s="7" t="s">
        <v>0</v>
      </c>
      <c r="O56" s="7" t="s">
        <v>0</v>
      </c>
      <c r="P56" s="7" t="s">
        <v>0</v>
      </c>
      <c r="Q56" s="7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16" t="str">
        <f>HYPERLINK("http://www.aruplab.com/Testing-Information/resources/HotLines/HotLineDocs/Jul2025QHL/0050779.pdf","H")</f>
        <v>H</v>
      </c>
      <c r="X56" s="7" t="s">
        <v>0</v>
      </c>
      <c r="Y56" s="7" t="s">
        <v>0</v>
      </c>
      <c r="Z56" s="7" t="s">
        <v>0</v>
      </c>
      <c r="AA56" s="8">
        <v>45859</v>
      </c>
    </row>
    <row r="57" spans="1:27" ht="60" x14ac:dyDescent="0.25">
      <c r="A57" s="6" t="s">
        <v>177</v>
      </c>
      <c r="B57" s="6" t="s">
        <v>178</v>
      </c>
      <c r="C57" s="6" t="s">
        <v>179</v>
      </c>
      <c r="D57" s="7" t="s">
        <v>0</v>
      </c>
      <c r="E57" s="7" t="s">
        <v>0</v>
      </c>
      <c r="F57" s="7" t="s">
        <v>35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7" t="s">
        <v>0</v>
      </c>
      <c r="P57" s="7" t="s">
        <v>0</v>
      </c>
      <c r="Q57" s="7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16" t="str">
        <f>HYPERLINK("http://www.aruplab.com/Testing-Information/resources/HotLines/HotLineDocs/Jul2025QHL/0050791.pdf","H")</f>
        <v>H</v>
      </c>
      <c r="X57" s="7" t="s">
        <v>0</v>
      </c>
      <c r="Y57" s="7" t="s">
        <v>0</v>
      </c>
      <c r="Z57" s="7" t="s">
        <v>0</v>
      </c>
      <c r="AA57" s="8">
        <v>45859</v>
      </c>
    </row>
    <row r="58" spans="1:27" ht="45" x14ac:dyDescent="0.25">
      <c r="A58" s="6" t="s">
        <v>180</v>
      </c>
      <c r="B58" s="6" t="s">
        <v>181</v>
      </c>
      <c r="C58" s="6" t="s">
        <v>182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35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7" t="s">
        <v>0</v>
      </c>
      <c r="P58" s="7" t="s">
        <v>0</v>
      </c>
      <c r="Q58" s="7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16" t="str">
        <f>HYPERLINK("http://www.aruplab.com/Testing-Information/resources/HotLines/HotLineDocs/Jul2025QHL/0050905.pdf","H")</f>
        <v>H</v>
      </c>
      <c r="X58" s="7" t="s">
        <v>0</v>
      </c>
      <c r="Y58" s="7" t="s">
        <v>0</v>
      </c>
      <c r="Z58" s="7" t="s">
        <v>0</v>
      </c>
      <c r="AA58" s="8">
        <v>45859</v>
      </c>
    </row>
    <row r="59" spans="1:27" ht="105" x14ac:dyDescent="0.25">
      <c r="A59" s="6" t="s">
        <v>183</v>
      </c>
      <c r="B59" s="6" t="s">
        <v>184</v>
      </c>
      <c r="C59" s="6" t="s">
        <v>185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 t="s">
        <v>0</v>
      </c>
      <c r="S59" s="7" t="s">
        <v>0</v>
      </c>
      <c r="T59" s="7" t="s">
        <v>0</v>
      </c>
      <c r="U59" s="7" t="s">
        <v>35</v>
      </c>
      <c r="V59" s="7" t="s">
        <v>0</v>
      </c>
      <c r="W59" s="16" t="str">
        <f>HYPERLINK("http://www.aruplab.com/Testing-Information/resources/HotLines/HotLineDocs/Jul2025QHL/2025.06.06 Jul Quarterly Hotline Inactivations.pdf","H")</f>
        <v>H</v>
      </c>
      <c r="X59" s="7" t="s">
        <v>0</v>
      </c>
      <c r="Y59" s="7" t="s">
        <v>0</v>
      </c>
      <c r="Z59" s="7" t="s">
        <v>0</v>
      </c>
      <c r="AA59" s="8">
        <v>45859</v>
      </c>
    </row>
    <row r="60" spans="1:27" ht="30" x14ac:dyDescent="0.25">
      <c r="A60" s="6" t="s">
        <v>186</v>
      </c>
      <c r="B60" s="6" t="s">
        <v>187</v>
      </c>
      <c r="C60" s="6" t="s">
        <v>188</v>
      </c>
      <c r="D60" s="7" t="s">
        <v>0</v>
      </c>
      <c r="E60" s="7" t="s">
        <v>0</v>
      </c>
      <c r="F60" s="7" t="s">
        <v>35</v>
      </c>
      <c r="G60" s="7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7" t="s">
        <v>0</v>
      </c>
      <c r="N60" s="7" t="s">
        <v>0</v>
      </c>
      <c r="O60" s="7" t="s">
        <v>0</v>
      </c>
      <c r="P60" s="7" t="s">
        <v>0</v>
      </c>
      <c r="Q60" s="7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16" t="str">
        <f>HYPERLINK("http://www.aruplab.com/Testing-Information/resources/HotLines/HotLineDocs/Jul2025QHL/0051244.pdf","H")</f>
        <v>H</v>
      </c>
      <c r="X60" s="7" t="s">
        <v>0</v>
      </c>
      <c r="Y60" s="7" t="s">
        <v>0</v>
      </c>
      <c r="Z60" s="7" t="s">
        <v>0</v>
      </c>
      <c r="AA60" s="8">
        <v>45859</v>
      </c>
    </row>
    <row r="61" spans="1:27" ht="30" x14ac:dyDescent="0.25">
      <c r="A61" s="6" t="s">
        <v>189</v>
      </c>
      <c r="B61" s="6" t="s">
        <v>190</v>
      </c>
      <c r="C61" s="6" t="s">
        <v>191</v>
      </c>
      <c r="D61" s="7" t="s">
        <v>0</v>
      </c>
      <c r="E61" s="7" t="s">
        <v>0</v>
      </c>
      <c r="F61" s="7" t="s">
        <v>35</v>
      </c>
      <c r="G61" s="7" t="s">
        <v>0</v>
      </c>
      <c r="H61" s="7" t="s">
        <v>0</v>
      </c>
      <c r="I61" s="7" t="s">
        <v>0</v>
      </c>
      <c r="J61" s="7" t="s">
        <v>35</v>
      </c>
      <c r="K61" s="7" t="s">
        <v>0</v>
      </c>
      <c r="L61" s="7" t="s">
        <v>0</v>
      </c>
      <c r="M61" s="7" t="s">
        <v>0</v>
      </c>
      <c r="N61" s="7" t="s">
        <v>0</v>
      </c>
      <c r="O61" s="7" t="s">
        <v>0</v>
      </c>
      <c r="P61" s="7" t="s">
        <v>0</v>
      </c>
      <c r="Q61" s="7" t="s">
        <v>0</v>
      </c>
      <c r="R61" s="7" t="s">
        <v>0</v>
      </c>
      <c r="S61" s="7" t="s">
        <v>0</v>
      </c>
      <c r="T61" s="7" t="s">
        <v>0</v>
      </c>
      <c r="U61" s="7" t="s">
        <v>0</v>
      </c>
      <c r="V61" s="7" t="s">
        <v>0</v>
      </c>
      <c r="W61" s="16" t="str">
        <f>HYPERLINK("http://www.aruplab.com/Testing-Information/resources/HotLines/HotLineDocs/Jul2025QHL/0051270.pdf","H")</f>
        <v>H</v>
      </c>
      <c r="X61" s="7" t="s">
        <v>0</v>
      </c>
      <c r="Y61" s="16" t="str">
        <f>HYPERLINK("http://www.aruplab.com/Testing-Information/resources/HotLines/Sample_Reports/Jul2025QHL/0051270_Galactosemia (GALT) 9 Mutations, Fetal_ GALTDNA FE.pdf","E")</f>
        <v>E</v>
      </c>
      <c r="Z61" s="7" t="s">
        <v>0</v>
      </c>
      <c r="AA61" s="8">
        <v>45859</v>
      </c>
    </row>
    <row r="62" spans="1:27" ht="30" x14ac:dyDescent="0.25">
      <c r="A62" s="6" t="s">
        <v>192</v>
      </c>
      <c r="B62" s="6" t="s">
        <v>193</v>
      </c>
      <c r="C62" s="6" t="s">
        <v>194</v>
      </c>
      <c r="D62" s="7" t="s">
        <v>0</v>
      </c>
      <c r="E62" s="7" t="s">
        <v>0</v>
      </c>
      <c r="F62" s="7" t="s">
        <v>0</v>
      </c>
      <c r="G62" s="7" t="s">
        <v>0</v>
      </c>
      <c r="H62" s="7" t="s">
        <v>35</v>
      </c>
      <c r="I62" s="7" t="s">
        <v>0</v>
      </c>
      <c r="J62" s="7" t="s">
        <v>0</v>
      </c>
      <c r="K62" s="7" t="s">
        <v>0</v>
      </c>
      <c r="L62" s="7" t="s">
        <v>0</v>
      </c>
      <c r="M62" s="7" t="s">
        <v>0</v>
      </c>
      <c r="N62" s="7" t="s">
        <v>0</v>
      </c>
      <c r="O62" s="7" t="s">
        <v>0</v>
      </c>
      <c r="P62" s="7" t="s">
        <v>0</v>
      </c>
      <c r="Q62" s="7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16" t="str">
        <f>HYPERLINK("http://www.aruplab.com/Testing-Information/resources/HotLines/HotLineDocs/Jul2025QHL/0051302.pdf","H")</f>
        <v>H</v>
      </c>
      <c r="X62" s="7" t="s">
        <v>0</v>
      </c>
      <c r="Y62" s="7" t="s">
        <v>0</v>
      </c>
      <c r="Z62" s="7" t="s">
        <v>0</v>
      </c>
      <c r="AA62" s="8">
        <v>45859</v>
      </c>
    </row>
    <row r="63" spans="1:27" ht="75" x14ac:dyDescent="0.25">
      <c r="A63" s="6" t="s">
        <v>195</v>
      </c>
      <c r="B63" s="6" t="s">
        <v>196</v>
      </c>
      <c r="C63" s="6" t="s">
        <v>197</v>
      </c>
      <c r="D63" s="7" t="s">
        <v>0</v>
      </c>
      <c r="E63" s="7" t="s">
        <v>0</v>
      </c>
      <c r="F63" s="7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7" t="s">
        <v>0</v>
      </c>
      <c r="L63" s="7" t="s">
        <v>0</v>
      </c>
      <c r="M63" s="7" t="s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 t="s">
        <v>0</v>
      </c>
      <c r="S63" s="7" t="s">
        <v>0</v>
      </c>
      <c r="T63" s="7" t="s">
        <v>0</v>
      </c>
      <c r="U63" s="7" t="s">
        <v>35</v>
      </c>
      <c r="V63" s="7" t="s">
        <v>0</v>
      </c>
      <c r="W63" s="16" t="str">
        <f>HYPERLINK("http://www.aruplab.com/Testing-Information/resources/HotLines/HotLineDocs/Jul2025QHL/2025.06.06 Jul Quarterly Hotline Inactivations.pdf","H")</f>
        <v>H</v>
      </c>
      <c r="X63" s="7" t="s">
        <v>0</v>
      </c>
      <c r="Y63" s="7" t="s">
        <v>0</v>
      </c>
      <c r="Z63" s="7" t="s">
        <v>0</v>
      </c>
      <c r="AA63" s="8">
        <v>45859</v>
      </c>
    </row>
    <row r="64" spans="1:27" ht="30" x14ac:dyDescent="0.25">
      <c r="A64" s="6" t="s">
        <v>198</v>
      </c>
      <c r="B64" s="6" t="s">
        <v>199</v>
      </c>
      <c r="C64" s="6" t="s">
        <v>200</v>
      </c>
      <c r="D64" s="7" t="s">
        <v>0</v>
      </c>
      <c r="E64" s="7" t="s">
        <v>0</v>
      </c>
      <c r="F64" s="7" t="s">
        <v>35</v>
      </c>
      <c r="G64" s="7" t="s">
        <v>0</v>
      </c>
      <c r="H64" s="7" t="s">
        <v>0</v>
      </c>
      <c r="I64" s="7" t="s">
        <v>35</v>
      </c>
      <c r="J64" s="7" t="s">
        <v>35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  <c r="P64" s="7" t="s">
        <v>0</v>
      </c>
      <c r="Q64" s="7" t="s">
        <v>0</v>
      </c>
      <c r="R64" s="7" t="s">
        <v>0</v>
      </c>
      <c r="S64" s="7" t="s">
        <v>0</v>
      </c>
      <c r="T64" s="7" t="s">
        <v>0</v>
      </c>
      <c r="U64" s="7" t="s">
        <v>0</v>
      </c>
      <c r="V64" s="7" t="s">
        <v>0</v>
      </c>
      <c r="W64" s="16" t="str">
        <f>HYPERLINK("http://www.aruplab.com/Testing-Information/resources/HotLines/HotLineDocs/Jul2025QHL/0051415.pdf","H")</f>
        <v>H</v>
      </c>
      <c r="X64" s="7" t="s">
        <v>0</v>
      </c>
      <c r="Y64" s="16" t="str">
        <f>HYPERLINK("http://www.aruplab.com/Testing-Information/resources/HotLines/Sample_Reports/Jul2025QHL/0051415_Ashkenazi Jewish Diseases, 16 Genes_AJP.pdf","E")</f>
        <v>E</v>
      </c>
      <c r="Z64" s="7" t="s">
        <v>0</v>
      </c>
      <c r="AA64" s="8">
        <v>45859</v>
      </c>
    </row>
    <row r="65" spans="1:27" ht="60" x14ac:dyDescent="0.25">
      <c r="A65" s="6" t="s">
        <v>201</v>
      </c>
      <c r="B65" s="6" t="s">
        <v>202</v>
      </c>
      <c r="C65" s="6" t="s">
        <v>203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35</v>
      </c>
      <c r="L65" s="7" t="s">
        <v>0</v>
      </c>
      <c r="M65" s="7" t="s">
        <v>0</v>
      </c>
      <c r="N65" s="7" t="s">
        <v>0</v>
      </c>
      <c r="O65" s="7" t="s">
        <v>0</v>
      </c>
      <c r="P65" s="7" t="s">
        <v>0</v>
      </c>
      <c r="Q65" s="7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16" t="str">
        <f>HYPERLINK("http://www.aruplab.com/Testing-Information/resources/HotLines/HotLineDocs/Jul2025QHL/0051627.pdf","H")</f>
        <v>H</v>
      </c>
      <c r="X65" s="7" t="s">
        <v>0</v>
      </c>
      <c r="Y65" s="7" t="s">
        <v>0</v>
      </c>
      <c r="Z65" s="7" t="s">
        <v>0</v>
      </c>
      <c r="AA65" s="8">
        <v>45859</v>
      </c>
    </row>
    <row r="66" spans="1:27" ht="90" x14ac:dyDescent="0.25">
      <c r="A66" s="6" t="s">
        <v>204</v>
      </c>
      <c r="B66" s="6" t="s">
        <v>205</v>
      </c>
      <c r="C66" s="6" t="s">
        <v>206</v>
      </c>
      <c r="D66" s="7" t="s">
        <v>0</v>
      </c>
      <c r="E66" s="7" t="s">
        <v>0</v>
      </c>
      <c r="F66" s="7" t="s">
        <v>35</v>
      </c>
      <c r="G66" s="7" t="s">
        <v>0</v>
      </c>
      <c r="H66" s="7" t="s">
        <v>0</v>
      </c>
      <c r="I66" s="7" t="s">
        <v>0</v>
      </c>
      <c r="J66" s="7" t="s">
        <v>35</v>
      </c>
      <c r="K66" s="7" t="s">
        <v>35</v>
      </c>
      <c r="L66" s="7" t="s">
        <v>0</v>
      </c>
      <c r="M66" s="7" t="s">
        <v>0</v>
      </c>
      <c r="N66" s="7" t="s">
        <v>0</v>
      </c>
      <c r="O66" s="7" t="s">
        <v>0</v>
      </c>
      <c r="P66" s="7" t="s">
        <v>0</v>
      </c>
      <c r="Q66" s="7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16" t="str">
        <f>HYPERLINK("http://www.aruplab.com/Testing-Information/resources/HotLines/HotLineDocs/Jul2025QHL/0051708.pdf","H")</f>
        <v>H</v>
      </c>
      <c r="X66" s="7" t="s">
        <v>0</v>
      </c>
      <c r="Y66" s="16" t="str">
        <f>HYPERLINK("http://www.aruplab.com/Testing-Information/resources/HotLines/Sample_Reports/Jul2025QHL/0051708_Herpes Simplex Virus Type 1 and or 2 Antibodies, IgG with Reflex to Type 1 and 2 Glycoprotein G-Specific Ab,IgG_HERPR PAN2.pdf","E")</f>
        <v>E</v>
      </c>
      <c r="Z66" s="7" t="s">
        <v>0</v>
      </c>
      <c r="AA66" s="8">
        <v>45859</v>
      </c>
    </row>
    <row r="67" spans="1:27" ht="45" x14ac:dyDescent="0.25">
      <c r="A67" s="6" t="s">
        <v>207</v>
      </c>
      <c r="B67" s="6" t="s">
        <v>208</v>
      </c>
      <c r="C67" s="6" t="s">
        <v>209</v>
      </c>
      <c r="D67" s="7" t="s">
        <v>0</v>
      </c>
      <c r="E67" s="7" t="s">
        <v>0</v>
      </c>
      <c r="F67" s="7" t="s">
        <v>35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7" t="s">
        <v>0</v>
      </c>
      <c r="P67" s="7" t="s">
        <v>0</v>
      </c>
      <c r="Q67" s="7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16" t="str">
        <f>HYPERLINK("http://www.aruplab.com/Testing-Information/resources/HotLines/HotLineDocs/Jul2025QHL/0055405.pdf","H")</f>
        <v>H</v>
      </c>
      <c r="X67" s="7" t="s">
        <v>0</v>
      </c>
      <c r="Y67" s="7" t="s">
        <v>0</v>
      </c>
      <c r="Z67" s="7" t="s">
        <v>0</v>
      </c>
      <c r="AA67" s="8">
        <v>45859</v>
      </c>
    </row>
    <row r="68" spans="1:27" ht="45" x14ac:dyDescent="0.25">
      <c r="A68" s="6" t="s">
        <v>210</v>
      </c>
      <c r="B68" s="6" t="s">
        <v>211</v>
      </c>
      <c r="C68" s="6" t="s">
        <v>212</v>
      </c>
      <c r="D68" s="7" t="s">
        <v>0</v>
      </c>
      <c r="E68" s="7" t="s">
        <v>0</v>
      </c>
      <c r="F68" s="7" t="s">
        <v>35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7" t="s">
        <v>0</v>
      </c>
      <c r="P68" s="7" t="s">
        <v>0</v>
      </c>
      <c r="Q68" s="7" t="s">
        <v>0</v>
      </c>
      <c r="R68" s="7" t="s">
        <v>0</v>
      </c>
      <c r="S68" s="7" t="s">
        <v>0</v>
      </c>
      <c r="T68" s="7" t="s">
        <v>0</v>
      </c>
      <c r="U68" s="7" t="s">
        <v>0</v>
      </c>
      <c r="V68" s="7" t="s">
        <v>0</v>
      </c>
      <c r="W68" s="16" t="str">
        <f>HYPERLINK("http://www.aruplab.com/Testing-Information/resources/HotLines/HotLineDocs/Jul2025QHL/0055410.pdf","H")</f>
        <v>H</v>
      </c>
      <c r="X68" s="7" t="s">
        <v>0</v>
      </c>
      <c r="Y68" s="7" t="s">
        <v>0</v>
      </c>
      <c r="Z68" s="7" t="s">
        <v>0</v>
      </c>
      <c r="AA68" s="8">
        <v>45859</v>
      </c>
    </row>
    <row r="69" spans="1:27" ht="45" x14ac:dyDescent="0.25">
      <c r="A69" s="6" t="s">
        <v>213</v>
      </c>
      <c r="B69" s="6" t="s">
        <v>214</v>
      </c>
      <c r="C69" s="6" t="s">
        <v>215</v>
      </c>
      <c r="D69" s="7" t="s">
        <v>0</v>
      </c>
      <c r="E69" s="7" t="s">
        <v>0</v>
      </c>
      <c r="F69" s="7" t="s">
        <v>35</v>
      </c>
      <c r="G69" s="7" t="s">
        <v>0</v>
      </c>
      <c r="H69" s="7" t="s">
        <v>0</v>
      </c>
      <c r="I69" s="7" t="s">
        <v>0</v>
      </c>
      <c r="J69" s="7" t="s">
        <v>0</v>
      </c>
      <c r="K69" s="7" t="s">
        <v>0</v>
      </c>
      <c r="L69" s="7" t="s">
        <v>0</v>
      </c>
      <c r="M69" s="7" t="s">
        <v>0</v>
      </c>
      <c r="N69" s="7" t="s">
        <v>0</v>
      </c>
      <c r="O69" s="7" t="s">
        <v>0</v>
      </c>
      <c r="P69" s="7" t="s">
        <v>0</v>
      </c>
      <c r="Q69" s="7" t="s">
        <v>0</v>
      </c>
      <c r="R69" s="7" t="s">
        <v>0</v>
      </c>
      <c r="S69" s="7" t="s">
        <v>0</v>
      </c>
      <c r="T69" s="7" t="s">
        <v>0</v>
      </c>
      <c r="U69" s="7" t="s">
        <v>0</v>
      </c>
      <c r="V69" s="7" t="s">
        <v>0</v>
      </c>
      <c r="W69" s="16" t="str">
        <f>HYPERLINK("http://www.aruplab.com/Testing-Information/resources/HotLines/HotLineDocs/Jul2025QHL/0055415.pdf","H")</f>
        <v>H</v>
      </c>
      <c r="X69" s="7" t="s">
        <v>0</v>
      </c>
      <c r="Y69" s="7" t="s">
        <v>0</v>
      </c>
      <c r="Z69" s="7" t="s">
        <v>0</v>
      </c>
      <c r="AA69" s="8">
        <v>45859</v>
      </c>
    </row>
    <row r="70" spans="1:27" ht="45" x14ac:dyDescent="0.25">
      <c r="A70" s="6" t="s">
        <v>216</v>
      </c>
      <c r="B70" s="6" t="s">
        <v>217</v>
      </c>
      <c r="C70" s="6" t="s">
        <v>218</v>
      </c>
      <c r="D70" s="7" t="s">
        <v>0</v>
      </c>
      <c r="E70" s="7" t="s">
        <v>0</v>
      </c>
      <c r="F70" s="7" t="s">
        <v>35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7" t="s">
        <v>0</v>
      </c>
      <c r="P70" s="7" t="s">
        <v>0</v>
      </c>
      <c r="Q70" s="7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16" t="str">
        <f>HYPERLINK("http://www.aruplab.com/Testing-Information/resources/HotLines/HotLineDocs/Jul2025QHL/0055420.pdf","H")</f>
        <v>H</v>
      </c>
      <c r="X70" s="7" t="s">
        <v>0</v>
      </c>
      <c r="Y70" s="7" t="s">
        <v>0</v>
      </c>
      <c r="Z70" s="7" t="s">
        <v>0</v>
      </c>
      <c r="AA70" s="8">
        <v>45859</v>
      </c>
    </row>
    <row r="71" spans="1:27" ht="90" x14ac:dyDescent="0.25">
      <c r="A71" s="6" t="s">
        <v>219</v>
      </c>
      <c r="B71" s="6" t="s">
        <v>220</v>
      </c>
      <c r="C71" s="6" t="s">
        <v>221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7" t="s">
        <v>0</v>
      </c>
      <c r="P71" s="7" t="s">
        <v>0</v>
      </c>
      <c r="Q71" s="7" t="s">
        <v>0</v>
      </c>
      <c r="R71" s="7" t="s">
        <v>0</v>
      </c>
      <c r="S71" s="7" t="s">
        <v>0</v>
      </c>
      <c r="T71" s="7" t="s">
        <v>0</v>
      </c>
      <c r="U71" s="7" t="s">
        <v>35</v>
      </c>
      <c r="V71" s="7" t="s">
        <v>0</v>
      </c>
      <c r="W71" s="16" t="str">
        <f>HYPERLINK("http://www.aruplab.com/Testing-Information/resources/HotLines/HotLineDocs/Jul2025QHL/2025.06.06 Jul Quarterly Hotline Inactivations.pdf","H")</f>
        <v>H</v>
      </c>
      <c r="X71" s="7" t="s">
        <v>0</v>
      </c>
      <c r="Y71" s="7" t="s">
        <v>0</v>
      </c>
      <c r="Z71" s="7" t="s">
        <v>0</v>
      </c>
      <c r="AA71" s="8">
        <v>45859</v>
      </c>
    </row>
    <row r="72" spans="1:27" ht="45" x14ac:dyDescent="0.25">
      <c r="A72" s="6" t="s">
        <v>222</v>
      </c>
      <c r="B72" s="6" t="s">
        <v>223</v>
      </c>
      <c r="C72" s="6" t="s">
        <v>224</v>
      </c>
      <c r="D72" s="7" t="s">
        <v>0</v>
      </c>
      <c r="E72" s="7" t="s">
        <v>0</v>
      </c>
      <c r="F72" s="7" t="s">
        <v>35</v>
      </c>
      <c r="G72" s="7" t="s">
        <v>0</v>
      </c>
      <c r="H72" s="7" t="s">
        <v>0</v>
      </c>
      <c r="I72" s="7" t="s">
        <v>0</v>
      </c>
      <c r="J72" s="7" t="s">
        <v>35</v>
      </c>
      <c r="K72" s="7" t="s">
        <v>35</v>
      </c>
      <c r="L72" s="7" t="s">
        <v>0</v>
      </c>
      <c r="M72" s="7" t="s">
        <v>0</v>
      </c>
      <c r="N72" s="7" t="s">
        <v>0</v>
      </c>
      <c r="O72" s="7" t="s">
        <v>0</v>
      </c>
      <c r="P72" s="7" t="s">
        <v>0</v>
      </c>
      <c r="Q72" s="7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16" t="str">
        <f>HYPERLINK("http://www.aruplab.com/Testing-Information/resources/HotLines/HotLineDocs/Jul2025QHL/0060217.pdf","H")</f>
        <v>H</v>
      </c>
      <c r="X72" s="7" t="s">
        <v>0</v>
      </c>
      <c r="Y72" s="7" t="s">
        <v>0</v>
      </c>
      <c r="Z72" s="7" t="s">
        <v>0</v>
      </c>
      <c r="AA72" s="8">
        <v>45859</v>
      </c>
    </row>
    <row r="73" spans="1:27" x14ac:dyDescent="0.25">
      <c r="A73" s="6" t="s">
        <v>225</v>
      </c>
      <c r="B73" s="6" t="s">
        <v>226</v>
      </c>
      <c r="C73" s="6" t="s">
        <v>227</v>
      </c>
      <c r="D73" s="7" t="s">
        <v>0</v>
      </c>
      <c r="E73" s="7" t="s">
        <v>0</v>
      </c>
      <c r="F73" s="7" t="s">
        <v>35</v>
      </c>
      <c r="G73" s="7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7" t="s">
        <v>0</v>
      </c>
      <c r="N73" s="7" t="s">
        <v>0</v>
      </c>
      <c r="O73" s="7" t="s">
        <v>0</v>
      </c>
      <c r="P73" s="7" t="s">
        <v>0</v>
      </c>
      <c r="Q73" s="7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16" t="str">
        <f>HYPERLINK("http://www.aruplab.com/Testing-Information/resources/HotLines/HotLineDocs/Jul2025QHL/0070189.pdf","H")</f>
        <v>H</v>
      </c>
      <c r="X73" s="7" t="s">
        <v>0</v>
      </c>
      <c r="Y73" s="7" t="s">
        <v>0</v>
      </c>
      <c r="Z73" s="7" t="s">
        <v>0</v>
      </c>
      <c r="AA73" s="8">
        <v>45859</v>
      </c>
    </row>
    <row r="74" spans="1:27" ht="75" x14ac:dyDescent="0.25">
      <c r="A74" s="6" t="s">
        <v>228</v>
      </c>
      <c r="B74" s="6" t="s">
        <v>229</v>
      </c>
      <c r="C74" s="6" t="s">
        <v>230</v>
      </c>
      <c r="D74" s="7" t="s">
        <v>0</v>
      </c>
      <c r="E74" s="7" t="s">
        <v>0</v>
      </c>
      <c r="F74" s="7" t="s">
        <v>0</v>
      </c>
      <c r="G74" s="7" t="s">
        <v>0</v>
      </c>
      <c r="H74" s="7" t="s">
        <v>0</v>
      </c>
      <c r="I74" s="7" t="s">
        <v>0</v>
      </c>
      <c r="J74" s="7" t="s">
        <v>0</v>
      </c>
      <c r="K74" s="7" t="s">
        <v>0</v>
      </c>
      <c r="L74" s="7" t="s">
        <v>0</v>
      </c>
      <c r="M74" s="7" t="s">
        <v>0</v>
      </c>
      <c r="N74" s="7" t="s">
        <v>0</v>
      </c>
      <c r="O74" s="7" t="s">
        <v>0</v>
      </c>
      <c r="P74" s="7" t="s">
        <v>0</v>
      </c>
      <c r="Q74" s="7" t="s">
        <v>0</v>
      </c>
      <c r="R74" s="7" t="s">
        <v>0</v>
      </c>
      <c r="S74" s="7" t="s">
        <v>0</v>
      </c>
      <c r="T74" s="7" t="s">
        <v>0</v>
      </c>
      <c r="U74" s="7" t="s">
        <v>35</v>
      </c>
      <c r="V74" s="7" t="s">
        <v>0</v>
      </c>
      <c r="W74" s="16" t="str">
        <f>HYPERLINK("http://www.aruplab.com/Testing-Information/resources/HotLines/HotLineDocs/Jul2025QHL/2025.06.06 Jul Quarterly Hotline Inactivations.pdf","H")</f>
        <v>H</v>
      </c>
      <c r="X74" s="7" t="s">
        <v>0</v>
      </c>
      <c r="Y74" s="7" t="s">
        <v>0</v>
      </c>
      <c r="Z74" s="7" t="s">
        <v>0</v>
      </c>
      <c r="AA74" s="8">
        <v>45859</v>
      </c>
    </row>
    <row r="75" spans="1:27" ht="60" x14ac:dyDescent="0.25">
      <c r="A75" s="6" t="s">
        <v>231</v>
      </c>
      <c r="B75" s="6" t="s">
        <v>232</v>
      </c>
      <c r="C75" s="6" t="s">
        <v>233</v>
      </c>
      <c r="D75" s="7" t="s">
        <v>0</v>
      </c>
      <c r="E75" s="7" t="s">
        <v>0</v>
      </c>
      <c r="F75" s="7" t="s">
        <v>0</v>
      </c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 t="s">
        <v>0</v>
      </c>
      <c r="N75" s="7" t="s">
        <v>0</v>
      </c>
      <c r="O75" s="7" t="s">
        <v>0</v>
      </c>
      <c r="P75" s="7" t="s">
        <v>0</v>
      </c>
      <c r="Q75" s="7" t="s">
        <v>0</v>
      </c>
      <c r="R75" s="7" t="s">
        <v>0</v>
      </c>
      <c r="S75" s="7" t="s">
        <v>0</v>
      </c>
      <c r="T75" s="7" t="s">
        <v>0</v>
      </c>
      <c r="U75" s="7" t="s">
        <v>35</v>
      </c>
      <c r="V75" s="7" t="s">
        <v>0</v>
      </c>
      <c r="W75" s="16" t="str">
        <f>HYPERLINK("http://www.aruplab.com/Testing-Information/resources/HotLines/HotLineDocs/Jul2025QHL/2025.06.06 Jul Quarterly Hotline Inactivations.pdf","H")</f>
        <v>H</v>
      </c>
      <c r="X75" s="7" t="s">
        <v>0</v>
      </c>
      <c r="Y75" s="7" t="s">
        <v>0</v>
      </c>
      <c r="Z75" s="7" t="s">
        <v>0</v>
      </c>
      <c r="AA75" s="8">
        <v>45859</v>
      </c>
    </row>
    <row r="76" spans="1:27" ht="30" x14ac:dyDescent="0.25">
      <c r="A76" s="6" t="s">
        <v>234</v>
      </c>
      <c r="B76" s="6" t="s">
        <v>235</v>
      </c>
      <c r="C76" s="6" t="s">
        <v>236</v>
      </c>
      <c r="D76" s="7" t="s">
        <v>0</v>
      </c>
      <c r="E76" s="7" t="s">
        <v>0</v>
      </c>
      <c r="F76" s="7" t="s">
        <v>35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7" t="s">
        <v>0</v>
      </c>
      <c r="P76" s="7" t="s">
        <v>0</v>
      </c>
      <c r="Q76" s="7" t="s">
        <v>0</v>
      </c>
      <c r="R76" s="7" t="s">
        <v>0</v>
      </c>
      <c r="S76" s="7" t="s">
        <v>0</v>
      </c>
      <c r="T76" s="7" t="s">
        <v>0</v>
      </c>
      <c r="U76" s="7" t="s">
        <v>0</v>
      </c>
      <c r="V76" s="7" t="s">
        <v>0</v>
      </c>
      <c r="W76" s="16" t="str">
        <f>HYPERLINK("http://www.aruplab.com/Testing-Information/resources/HotLines/HotLineDocs/Jul2025QHL/0080525.pdf","H")</f>
        <v>H</v>
      </c>
      <c r="X76" s="7" t="s">
        <v>0</v>
      </c>
      <c r="Y76" s="7" t="s">
        <v>0</v>
      </c>
      <c r="Z76" s="7" t="s">
        <v>0</v>
      </c>
      <c r="AA76" s="8">
        <v>45859</v>
      </c>
    </row>
    <row r="77" spans="1:27" ht="60" x14ac:dyDescent="0.25">
      <c r="A77" s="6" t="s">
        <v>237</v>
      </c>
      <c r="B77" s="6" t="s">
        <v>238</v>
      </c>
      <c r="C77" s="6" t="s">
        <v>239</v>
      </c>
      <c r="D77" s="7" t="s">
        <v>0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7" t="s">
        <v>0</v>
      </c>
      <c r="P77" s="7" t="s">
        <v>0</v>
      </c>
      <c r="Q77" s="7" t="s">
        <v>0</v>
      </c>
      <c r="R77" s="7" t="s">
        <v>0</v>
      </c>
      <c r="S77" s="7" t="s">
        <v>0</v>
      </c>
      <c r="T77" s="7" t="s">
        <v>0</v>
      </c>
      <c r="U77" s="7" t="s">
        <v>35</v>
      </c>
      <c r="V77" s="7" t="s">
        <v>0</v>
      </c>
      <c r="W77" s="16" t="str">
        <f>HYPERLINK("http://www.aruplab.com/Testing-Information/resources/HotLines/HotLineDocs/Jul2025QHL/2025.06.06 Jul Quarterly Hotline Inactivations.pdf","H")</f>
        <v>H</v>
      </c>
      <c r="X77" s="7" t="s">
        <v>0</v>
      </c>
      <c r="Y77" s="7" t="s">
        <v>0</v>
      </c>
      <c r="Z77" s="7" t="s">
        <v>0</v>
      </c>
      <c r="AA77" s="8">
        <v>45859</v>
      </c>
    </row>
    <row r="78" spans="1:27" ht="30" x14ac:dyDescent="0.25">
      <c r="A78" s="6" t="s">
        <v>240</v>
      </c>
      <c r="B78" s="6" t="s">
        <v>241</v>
      </c>
      <c r="C78" s="6" t="s">
        <v>242</v>
      </c>
      <c r="D78" s="7" t="s">
        <v>0</v>
      </c>
      <c r="E78" s="7" t="s">
        <v>0</v>
      </c>
      <c r="F78" s="7" t="s">
        <v>35</v>
      </c>
      <c r="G78" s="7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7" t="s">
        <v>0</v>
      </c>
      <c r="N78" s="7" t="s">
        <v>0</v>
      </c>
      <c r="O78" s="7" t="s">
        <v>0</v>
      </c>
      <c r="P78" s="7" t="s">
        <v>0</v>
      </c>
      <c r="Q78" s="7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16" t="str">
        <f>HYPERLINK("http://www.aruplab.com/Testing-Information/resources/HotLines/HotLineDocs/Jul2025QHL/0090284.pdf","H")</f>
        <v>H</v>
      </c>
      <c r="X78" s="7" t="s">
        <v>0</v>
      </c>
      <c r="Y78" s="7" t="s">
        <v>0</v>
      </c>
      <c r="Z78" s="7" t="s">
        <v>0</v>
      </c>
      <c r="AA78" s="8">
        <v>45859</v>
      </c>
    </row>
    <row r="79" spans="1:27" ht="30" x14ac:dyDescent="0.25">
      <c r="A79" s="6" t="s">
        <v>243</v>
      </c>
      <c r="B79" s="6" t="s">
        <v>244</v>
      </c>
      <c r="C79" s="6" t="s">
        <v>245</v>
      </c>
      <c r="D79" s="7" t="s">
        <v>0</v>
      </c>
      <c r="E79" s="7" t="s">
        <v>0</v>
      </c>
      <c r="F79" s="7" t="s">
        <v>35</v>
      </c>
      <c r="G79" s="7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7" t="s">
        <v>0</v>
      </c>
      <c r="N79" s="7" t="s">
        <v>0</v>
      </c>
      <c r="O79" s="7" t="s">
        <v>0</v>
      </c>
      <c r="P79" s="7" t="s">
        <v>0</v>
      </c>
      <c r="Q79" s="7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16" t="str">
        <f>HYPERLINK("http://www.aruplab.com/Testing-Information/resources/HotLines/HotLineDocs/Jul2025QHL/0090286.pdf","H")</f>
        <v>H</v>
      </c>
      <c r="X79" s="7" t="s">
        <v>0</v>
      </c>
      <c r="Y79" s="7" t="s">
        <v>0</v>
      </c>
      <c r="Z79" s="7" t="s">
        <v>0</v>
      </c>
      <c r="AA79" s="8">
        <v>45859</v>
      </c>
    </row>
    <row r="80" spans="1:27" ht="30" x14ac:dyDescent="0.25">
      <c r="A80" s="6" t="s">
        <v>246</v>
      </c>
      <c r="B80" s="6" t="s">
        <v>247</v>
      </c>
      <c r="C80" s="6" t="s">
        <v>248</v>
      </c>
      <c r="D80" s="7" t="s">
        <v>0</v>
      </c>
      <c r="E80" s="7" t="s">
        <v>0</v>
      </c>
      <c r="F80" s="7" t="s">
        <v>35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7" t="s">
        <v>0</v>
      </c>
      <c r="P80" s="7" t="s">
        <v>0</v>
      </c>
      <c r="Q80" s="7" t="s">
        <v>0</v>
      </c>
      <c r="R80" s="7" t="s">
        <v>0</v>
      </c>
      <c r="S80" s="7" t="s">
        <v>0</v>
      </c>
      <c r="T80" s="7" t="s">
        <v>0</v>
      </c>
      <c r="U80" s="7" t="s">
        <v>0</v>
      </c>
      <c r="V80" s="7" t="s">
        <v>0</v>
      </c>
      <c r="W80" s="16" t="str">
        <f>HYPERLINK("http://www.aruplab.com/Testing-Information/resources/HotLines/HotLineDocs/Jul2025QHL/0090287.pdf","H")</f>
        <v>H</v>
      </c>
      <c r="X80" s="7" t="s">
        <v>0</v>
      </c>
      <c r="Y80" s="7" t="s">
        <v>0</v>
      </c>
      <c r="Z80" s="7" t="s">
        <v>0</v>
      </c>
      <c r="AA80" s="8">
        <v>45859</v>
      </c>
    </row>
    <row r="81" spans="1:27" ht="30" x14ac:dyDescent="0.25">
      <c r="A81" s="6" t="s">
        <v>249</v>
      </c>
      <c r="B81" s="6" t="s">
        <v>250</v>
      </c>
      <c r="C81" s="6" t="s">
        <v>251</v>
      </c>
      <c r="D81" s="7" t="s">
        <v>0</v>
      </c>
      <c r="E81" s="7" t="s">
        <v>0</v>
      </c>
      <c r="F81" s="7" t="s">
        <v>35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7" t="s">
        <v>0</v>
      </c>
      <c r="P81" s="7" t="s">
        <v>0</v>
      </c>
      <c r="Q81" s="7" t="s">
        <v>0</v>
      </c>
      <c r="R81" s="7" t="s">
        <v>0</v>
      </c>
      <c r="S81" s="7" t="s">
        <v>0</v>
      </c>
      <c r="T81" s="7" t="s">
        <v>0</v>
      </c>
      <c r="U81" s="7" t="s">
        <v>0</v>
      </c>
      <c r="V81" s="7" t="s">
        <v>0</v>
      </c>
      <c r="W81" s="16" t="str">
        <f>HYPERLINK("http://www.aruplab.com/Testing-Information/resources/HotLines/HotLineDocs/Jul2025QHL/0090289.pdf","H")</f>
        <v>H</v>
      </c>
      <c r="X81" s="7" t="s">
        <v>0</v>
      </c>
      <c r="Y81" s="7" t="s">
        <v>0</v>
      </c>
      <c r="Z81" s="7" t="s">
        <v>0</v>
      </c>
      <c r="AA81" s="8">
        <v>45859</v>
      </c>
    </row>
    <row r="82" spans="1:27" ht="30" x14ac:dyDescent="0.25">
      <c r="A82" s="6" t="s">
        <v>252</v>
      </c>
      <c r="B82" s="6" t="s">
        <v>253</v>
      </c>
      <c r="C82" s="6" t="s">
        <v>254</v>
      </c>
      <c r="D82" s="7" t="s">
        <v>0</v>
      </c>
      <c r="E82" s="7" t="s">
        <v>0</v>
      </c>
      <c r="F82" s="7" t="s">
        <v>35</v>
      </c>
      <c r="G82" s="7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7" t="s">
        <v>0</v>
      </c>
      <c r="N82" s="7" t="s">
        <v>0</v>
      </c>
      <c r="O82" s="7" t="s">
        <v>0</v>
      </c>
      <c r="P82" s="7" t="s">
        <v>0</v>
      </c>
      <c r="Q82" s="7" t="s">
        <v>0</v>
      </c>
      <c r="R82" s="7" t="s">
        <v>0</v>
      </c>
      <c r="S82" s="7" t="s">
        <v>0</v>
      </c>
      <c r="T82" s="7" t="s">
        <v>0</v>
      </c>
      <c r="U82" s="7" t="s">
        <v>0</v>
      </c>
      <c r="V82" s="7" t="s">
        <v>0</v>
      </c>
      <c r="W82" s="16" t="str">
        <f>HYPERLINK("http://www.aruplab.com/Testing-Information/resources/HotLines/HotLineDocs/Jul2025QHL/0090291.pdf","H")</f>
        <v>H</v>
      </c>
      <c r="X82" s="7" t="s">
        <v>0</v>
      </c>
      <c r="Y82" s="7" t="s">
        <v>0</v>
      </c>
      <c r="Z82" s="7" t="s">
        <v>0</v>
      </c>
      <c r="AA82" s="8">
        <v>45859</v>
      </c>
    </row>
    <row r="83" spans="1:27" ht="60" x14ac:dyDescent="0.25">
      <c r="A83" s="6" t="s">
        <v>255</v>
      </c>
      <c r="B83" s="6" t="s">
        <v>256</v>
      </c>
      <c r="C83" s="6" t="s">
        <v>257</v>
      </c>
      <c r="D83" s="7" t="s">
        <v>0</v>
      </c>
      <c r="E83" s="7" t="s">
        <v>0</v>
      </c>
      <c r="F83" s="7" t="s">
        <v>35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7" t="s">
        <v>0</v>
      </c>
      <c r="P83" s="7" t="s">
        <v>0</v>
      </c>
      <c r="Q83" s="7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16" t="str">
        <f>HYPERLINK("http://www.aruplab.com/Testing-Information/resources/HotLines/HotLineDocs/Jul2025QHL/0093454.pdf","H")</f>
        <v>H</v>
      </c>
      <c r="X83" s="7" t="s">
        <v>0</v>
      </c>
      <c r="Y83" s="7" t="s">
        <v>0</v>
      </c>
      <c r="Z83" s="7" t="s">
        <v>0</v>
      </c>
      <c r="AA83" s="8">
        <v>45859</v>
      </c>
    </row>
    <row r="84" spans="1:27" ht="30" x14ac:dyDescent="0.25">
      <c r="A84" s="6" t="s">
        <v>258</v>
      </c>
      <c r="B84" s="6" t="s">
        <v>259</v>
      </c>
      <c r="C84" s="6" t="s">
        <v>260</v>
      </c>
      <c r="D84" s="7" t="s">
        <v>0</v>
      </c>
      <c r="E84" s="7" t="s">
        <v>0</v>
      </c>
      <c r="F84" s="7" t="s">
        <v>35</v>
      </c>
      <c r="G84" s="7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7" t="s">
        <v>0</v>
      </c>
      <c r="N84" s="7" t="s">
        <v>0</v>
      </c>
      <c r="O84" s="7" t="s">
        <v>0</v>
      </c>
      <c r="P84" s="7" t="s">
        <v>0</v>
      </c>
      <c r="Q84" s="7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16" t="str">
        <f>HYPERLINK("http://www.aruplab.com/Testing-Information/resources/HotLines/HotLineDocs/Jul2025QHL/0097299.pdf","H")</f>
        <v>H</v>
      </c>
      <c r="X84" s="7" t="s">
        <v>0</v>
      </c>
      <c r="Y84" s="7" t="s">
        <v>0</v>
      </c>
      <c r="Z84" s="7" t="s">
        <v>0</v>
      </c>
      <c r="AA84" s="8">
        <v>45859</v>
      </c>
    </row>
    <row r="85" spans="1:27" ht="30" x14ac:dyDescent="0.25">
      <c r="A85" s="6" t="s">
        <v>261</v>
      </c>
      <c r="B85" s="6" t="s">
        <v>262</v>
      </c>
      <c r="C85" s="6" t="s">
        <v>263</v>
      </c>
      <c r="D85" s="7" t="s">
        <v>0</v>
      </c>
      <c r="E85" s="7" t="s">
        <v>0</v>
      </c>
      <c r="F85" s="7" t="s">
        <v>35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7" t="s">
        <v>0</v>
      </c>
      <c r="P85" s="7" t="s">
        <v>0</v>
      </c>
      <c r="Q85" s="7" t="s">
        <v>0</v>
      </c>
      <c r="R85" s="7" t="s">
        <v>0</v>
      </c>
      <c r="S85" s="7" t="s">
        <v>0</v>
      </c>
      <c r="T85" s="7" t="s">
        <v>0</v>
      </c>
      <c r="U85" s="7" t="s">
        <v>0</v>
      </c>
      <c r="V85" s="7" t="s">
        <v>0</v>
      </c>
      <c r="W85" s="16" t="str">
        <f>HYPERLINK("http://www.aruplab.com/Testing-Information/resources/HotLines/HotLineDocs/Jul2025QHL/0097302.pdf","H")</f>
        <v>H</v>
      </c>
      <c r="X85" s="7" t="s">
        <v>0</v>
      </c>
      <c r="Y85" s="7" t="s">
        <v>0</v>
      </c>
      <c r="Z85" s="7" t="s">
        <v>0</v>
      </c>
      <c r="AA85" s="8">
        <v>45859</v>
      </c>
    </row>
    <row r="86" spans="1:27" ht="45" x14ac:dyDescent="0.25">
      <c r="A86" s="6" t="s">
        <v>264</v>
      </c>
      <c r="B86" s="6" t="s">
        <v>265</v>
      </c>
      <c r="C86" s="6" t="s">
        <v>266</v>
      </c>
      <c r="D86" s="7" t="s">
        <v>0</v>
      </c>
      <c r="E86" s="7" t="s">
        <v>0</v>
      </c>
      <c r="F86" s="7" t="s">
        <v>35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7" t="s">
        <v>0</v>
      </c>
      <c r="P86" s="7" t="s">
        <v>0</v>
      </c>
      <c r="Q86" s="7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16" t="str">
        <f>HYPERLINK("http://www.aruplab.com/Testing-Information/resources/HotLines/HotLineDocs/Jul2025QHL/0097304.pdf","H")</f>
        <v>H</v>
      </c>
      <c r="X86" s="7" t="s">
        <v>0</v>
      </c>
      <c r="Y86" s="7" t="s">
        <v>0</v>
      </c>
      <c r="Z86" s="7" t="s">
        <v>0</v>
      </c>
      <c r="AA86" s="8">
        <v>45859</v>
      </c>
    </row>
    <row r="87" spans="1:27" ht="45" x14ac:dyDescent="0.25">
      <c r="A87" s="6" t="s">
        <v>267</v>
      </c>
      <c r="B87" s="6" t="s">
        <v>268</v>
      </c>
      <c r="C87" s="6" t="s">
        <v>269</v>
      </c>
      <c r="D87" s="7" t="s">
        <v>0</v>
      </c>
      <c r="E87" s="7" t="s">
        <v>0</v>
      </c>
      <c r="F87" s="7" t="s">
        <v>35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7" t="s">
        <v>0</v>
      </c>
      <c r="P87" s="7" t="s">
        <v>0</v>
      </c>
      <c r="Q87" s="7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16" t="str">
        <f>HYPERLINK("http://www.aruplab.com/Testing-Information/resources/HotLines/HotLineDocs/Jul2025QHL/0097305.pdf","H")</f>
        <v>H</v>
      </c>
      <c r="X87" s="7" t="s">
        <v>0</v>
      </c>
      <c r="Y87" s="7" t="s">
        <v>0</v>
      </c>
      <c r="Z87" s="7" t="s">
        <v>0</v>
      </c>
      <c r="AA87" s="8">
        <v>45859</v>
      </c>
    </row>
    <row r="88" spans="1:27" ht="30" x14ac:dyDescent="0.25">
      <c r="A88" s="6" t="s">
        <v>270</v>
      </c>
      <c r="B88" s="6" t="s">
        <v>271</v>
      </c>
      <c r="C88" s="6" t="s">
        <v>272</v>
      </c>
      <c r="D88" s="7" t="s">
        <v>0</v>
      </c>
      <c r="E88" s="7" t="s">
        <v>0</v>
      </c>
      <c r="F88" s="7" t="s">
        <v>35</v>
      </c>
      <c r="G88" s="7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7" t="s">
        <v>0</v>
      </c>
      <c r="N88" s="7" t="s">
        <v>0</v>
      </c>
      <c r="O88" s="7" t="s">
        <v>0</v>
      </c>
      <c r="P88" s="7" t="s">
        <v>0</v>
      </c>
      <c r="Q88" s="7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16" t="str">
        <f>HYPERLINK("http://www.aruplab.com/Testing-Information/resources/HotLines/HotLineDocs/Jul2025QHL/0097306.pdf","H")</f>
        <v>H</v>
      </c>
      <c r="X88" s="7" t="s">
        <v>0</v>
      </c>
      <c r="Y88" s="7" t="s">
        <v>0</v>
      </c>
      <c r="Z88" s="7" t="s">
        <v>0</v>
      </c>
      <c r="AA88" s="8">
        <v>45859</v>
      </c>
    </row>
    <row r="89" spans="1:27" ht="45" x14ac:dyDescent="0.25">
      <c r="A89" s="6" t="s">
        <v>273</v>
      </c>
      <c r="B89" s="6" t="s">
        <v>274</v>
      </c>
      <c r="C89" s="6" t="s">
        <v>275</v>
      </c>
      <c r="D89" s="7" t="s">
        <v>0</v>
      </c>
      <c r="E89" s="7" t="s">
        <v>0</v>
      </c>
      <c r="F89" s="7" t="s">
        <v>35</v>
      </c>
      <c r="G89" s="7" t="s">
        <v>0</v>
      </c>
      <c r="H89" s="7" t="s">
        <v>0</v>
      </c>
      <c r="I89" s="7" t="s">
        <v>0</v>
      </c>
      <c r="J89" s="7" t="s">
        <v>0</v>
      </c>
      <c r="K89" s="7" t="s">
        <v>0</v>
      </c>
      <c r="L89" s="7" t="s">
        <v>0</v>
      </c>
      <c r="M89" s="7" t="s">
        <v>0</v>
      </c>
      <c r="N89" s="7" t="s">
        <v>0</v>
      </c>
      <c r="O89" s="7" t="s">
        <v>0</v>
      </c>
      <c r="P89" s="7" t="s">
        <v>0</v>
      </c>
      <c r="Q89" s="7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16" t="str">
        <f>HYPERLINK("http://www.aruplab.com/Testing-Information/resources/HotLines/HotLineDocs/Jul2025QHL/0097307.pdf","H")</f>
        <v>H</v>
      </c>
      <c r="X89" s="7" t="s">
        <v>0</v>
      </c>
      <c r="Y89" s="7" t="s">
        <v>0</v>
      </c>
      <c r="Z89" s="7" t="s">
        <v>0</v>
      </c>
      <c r="AA89" s="8">
        <v>45859</v>
      </c>
    </row>
    <row r="90" spans="1:27" ht="45" x14ac:dyDescent="0.25">
      <c r="A90" s="6" t="s">
        <v>276</v>
      </c>
      <c r="B90" s="6" t="s">
        <v>277</v>
      </c>
      <c r="C90" s="6" t="s">
        <v>278</v>
      </c>
      <c r="D90" s="7" t="s">
        <v>0</v>
      </c>
      <c r="E90" s="7" t="s">
        <v>0</v>
      </c>
      <c r="F90" s="7" t="s">
        <v>35</v>
      </c>
      <c r="G90" s="7" t="s">
        <v>0</v>
      </c>
      <c r="H90" s="7" t="s">
        <v>0</v>
      </c>
      <c r="I90" s="7" t="s">
        <v>0</v>
      </c>
      <c r="J90" s="7" t="s">
        <v>0</v>
      </c>
      <c r="K90" s="7" t="s">
        <v>0</v>
      </c>
      <c r="L90" s="7" t="s">
        <v>0</v>
      </c>
      <c r="M90" s="7" t="s">
        <v>0</v>
      </c>
      <c r="N90" s="7" t="s">
        <v>0</v>
      </c>
      <c r="O90" s="7" t="s">
        <v>0</v>
      </c>
      <c r="P90" s="7" t="s">
        <v>0</v>
      </c>
      <c r="Q90" s="7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16" t="str">
        <f>HYPERLINK("http://www.aruplab.com/Testing-Information/resources/HotLines/HotLineDocs/Jul2025QHL/0097308.pdf","H")</f>
        <v>H</v>
      </c>
      <c r="X90" s="7" t="s">
        <v>0</v>
      </c>
      <c r="Y90" s="7" t="s">
        <v>0</v>
      </c>
      <c r="Z90" s="7" t="s">
        <v>0</v>
      </c>
      <c r="AA90" s="8">
        <v>45859</v>
      </c>
    </row>
    <row r="91" spans="1:27" ht="45" x14ac:dyDescent="0.25">
      <c r="A91" s="6" t="s">
        <v>279</v>
      </c>
      <c r="B91" s="6" t="s">
        <v>280</v>
      </c>
      <c r="C91" s="6" t="s">
        <v>281</v>
      </c>
      <c r="D91" s="7" t="s">
        <v>0</v>
      </c>
      <c r="E91" s="7" t="s">
        <v>0</v>
      </c>
      <c r="F91" s="7" t="s">
        <v>35</v>
      </c>
      <c r="G91" s="7" t="s">
        <v>0</v>
      </c>
      <c r="H91" s="7" t="s">
        <v>0</v>
      </c>
      <c r="I91" s="7" t="s">
        <v>0</v>
      </c>
      <c r="J91" s="7" t="s">
        <v>0</v>
      </c>
      <c r="K91" s="7" t="s">
        <v>0</v>
      </c>
      <c r="L91" s="7" t="s">
        <v>0</v>
      </c>
      <c r="M91" s="7" t="s">
        <v>0</v>
      </c>
      <c r="N91" s="7" t="s">
        <v>0</v>
      </c>
      <c r="O91" s="7" t="s">
        <v>0</v>
      </c>
      <c r="P91" s="7" t="s">
        <v>0</v>
      </c>
      <c r="Q91" s="7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16" t="str">
        <f>HYPERLINK("http://www.aruplab.com/Testing-Information/resources/HotLines/HotLineDocs/Jul2025QHL/0097309.pdf","H")</f>
        <v>H</v>
      </c>
      <c r="X91" s="7" t="s">
        <v>0</v>
      </c>
      <c r="Y91" s="7" t="s">
        <v>0</v>
      </c>
      <c r="Z91" s="7" t="s">
        <v>0</v>
      </c>
      <c r="AA91" s="8">
        <v>45859</v>
      </c>
    </row>
    <row r="92" spans="1:27" ht="60" x14ac:dyDescent="0.25">
      <c r="A92" s="6" t="s">
        <v>282</v>
      </c>
      <c r="B92" s="6" t="s">
        <v>283</v>
      </c>
      <c r="C92" s="6" t="s">
        <v>284</v>
      </c>
      <c r="D92" s="7" t="s">
        <v>0</v>
      </c>
      <c r="E92" s="7" t="s">
        <v>0</v>
      </c>
      <c r="F92" s="7" t="s">
        <v>35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7" t="s">
        <v>0</v>
      </c>
      <c r="P92" s="7" t="s">
        <v>0</v>
      </c>
      <c r="Q92" s="7" t="s">
        <v>0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16" t="str">
        <f>HYPERLINK("http://www.aruplab.com/Testing-Information/resources/HotLines/HotLineDocs/Jul2025QHL/0097310.pdf","H")</f>
        <v>H</v>
      </c>
      <c r="X92" s="7" t="s">
        <v>0</v>
      </c>
      <c r="Y92" s="7" t="s">
        <v>0</v>
      </c>
      <c r="Z92" s="7" t="s">
        <v>0</v>
      </c>
      <c r="AA92" s="8">
        <v>45859</v>
      </c>
    </row>
    <row r="93" spans="1:27" ht="75" x14ac:dyDescent="0.25">
      <c r="A93" s="6" t="s">
        <v>285</v>
      </c>
      <c r="B93" s="6" t="s">
        <v>286</v>
      </c>
      <c r="C93" s="6" t="s">
        <v>287</v>
      </c>
      <c r="D93" s="7" t="s">
        <v>0</v>
      </c>
      <c r="E93" s="7" t="s">
        <v>0</v>
      </c>
      <c r="F93" s="7" t="s">
        <v>35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7" t="s">
        <v>0</v>
      </c>
      <c r="P93" s="7" t="s">
        <v>0</v>
      </c>
      <c r="Q93" s="7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16" t="str">
        <f>HYPERLINK("http://www.aruplab.com/Testing-Information/resources/HotLines/HotLineDocs/Jul2025QHL/0097313.pdf","H")</f>
        <v>H</v>
      </c>
      <c r="X93" s="7" t="s">
        <v>0</v>
      </c>
      <c r="Y93" s="16" t="str">
        <f>HYPERLINK("http://www.aruplab.com/Testing-Information/resources/HotLines/Sample_Reports/Jul2025QHL/0097313_Allergen, Fungi and Molds, Helminthosporium halodes Setomelanomma rostrata IgG_HELMINIGG.pdf","E")</f>
        <v>E</v>
      </c>
      <c r="Z93" s="7" t="s">
        <v>0</v>
      </c>
      <c r="AA93" s="8">
        <v>45859</v>
      </c>
    </row>
    <row r="94" spans="1:27" ht="45" x14ac:dyDescent="0.25">
      <c r="A94" s="6" t="s">
        <v>288</v>
      </c>
      <c r="B94" s="6" t="s">
        <v>289</v>
      </c>
      <c r="C94" s="6" t="s">
        <v>290</v>
      </c>
      <c r="D94" s="7" t="s">
        <v>0</v>
      </c>
      <c r="E94" s="7" t="s">
        <v>0</v>
      </c>
      <c r="F94" s="7" t="s">
        <v>35</v>
      </c>
      <c r="G94" s="7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7" t="s">
        <v>0</v>
      </c>
      <c r="N94" s="7" t="s">
        <v>0</v>
      </c>
      <c r="O94" s="7" t="s">
        <v>0</v>
      </c>
      <c r="P94" s="7" t="s">
        <v>0</v>
      </c>
      <c r="Q94" s="7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16" t="str">
        <f>HYPERLINK("http://www.aruplab.com/Testing-Information/resources/HotLines/HotLineDocs/Jul2025QHL/0097314.pdf","H")</f>
        <v>H</v>
      </c>
      <c r="X94" s="7" t="s">
        <v>0</v>
      </c>
      <c r="Y94" s="7" t="s">
        <v>0</v>
      </c>
      <c r="Z94" s="7" t="s">
        <v>0</v>
      </c>
      <c r="AA94" s="8">
        <v>45859</v>
      </c>
    </row>
    <row r="95" spans="1:27" ht="30" x14ac:dyDescent="0.25">
      <c r="A95" s="6" t="s">
        <v>291</v>
      </c>
      <c r="B95" s="6" t="s">
        <v>292</v>
      </c>
      <c r="C95" s="6" t="s">
        <v>293</v>
      </c>
      <c r="D95" s="7" t="s">
        <v>0</v>
      </c>
      <c r="E95" s="7" t="s">
        <v>0</v>
      </c>
      <c r="F95" s="7" t="s">
        <v>35</v>
      </c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 t="s">
        <v>0</v>
      </c>
      <c r="N95" s="7" t="s">
        <v>0</v>
      </c>
      <c r="O95" s="7" t="s">
        <v>0</v>
      </c>
      <c r="P95" s="7" t="s">
        <v>0</v>
      </c>
      <c r="Q95" s="7" t="s">
        <v>0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16" t="str">
        <f>HYPERLINK("http://www.aruplab.com/Testing-Information/resources/HotLines/HotLineDocs/Jul2025QHL/0097315.pdf","H")</f>
        <v>H</v>
      </c>
      <c r="X95" s="7" t="s">
        <v>0</v>
      </c>
      <c r="Y95" s="7" t="s">
        <v>0</v>
      </c>
      <c r="Z95" s="7" t="s">
        <v>0</v>
      </c>
      <c r="AA95" s="8">
        <v>45859</v>
      </c>
    </row>
    <row r="96" spans="1:27" ht="45" x14ac:dyDescent="0.25">
      <c r="A96" s="6" t="s">
        <v>294</v>
      </c>
      <c r="B96" s="6" t="s">
        <v>295</v>
      </c>
      <c r="C96" s="6" t="s">
        <v>296</v>
      </c>
      <c r="D96" s="7" t="s">
        <v>0</v>
      </c>
      <c r="E96" s="7" t="s">
        <v>0</v>
      </c>
      <c r="F96" s="7" t="s">
        <v>35</v>
      </c>
      <c r="G96" s="7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7" t="s">
        <v>0</v>
      </c>
      <c r="N96" s="7" t="s">
        <v>0</v>
      </c>
      <c r="O96" s="7" t="s">
        <v>0</v>
      </c>
      <c r="P96" s="7" t="s">
        <v>0</v>
      </c>
      <c r="Q96" s="7" t="s">
        <v>0</v>
      </c>
      <c r="R96" s="7" t="s">
        <v>0</v>
      </c>
      <c r="S96" s="7" t="s">
        <v>0</v>
      </c>
      <c r="T96" s="7" t="s">
        <v>0</v>
      </c>
      <c r="U96" s="7" t="s">
        <v>0</v>
      </c>
      <c r="V96" s="7" t="s">
        <v>0</v>
      </c>
      <c r="W96" s="16" t="str">
        <f>HYPERLINK("http://www.aruplab.com/Testing-Information/resources/HotLines/HotLineDocs/Jul2025QHL/0097316.pdf","H")</f>
        <v>H</v>
      </c>
      <c r="X96" s="7" t="s">
        <v>0</v>
      </c>
      <c r="Y96" s="7" t="s">
        <v>0</v>
      </c>
      <c r="Z96" s="7" t="s">
        <v>0</v>
      </c>
      <c r="AA96" s="8">
        <v>45859</v>
      </c>
    </row>
    <row r="97" spans="1:27" ht="30" x14ac:dyDescent="0.25">
      <c r="A97" s="6" t="s">
        <v>297</v>
      </c>
      <c r="B97" s="6" t="s">
        <v>298</v>
      </c>
      <c r="C97" s="6" t="s">
        <v>299</v>
      </c>
      <c r="D97" s="7" t="s">
        <v>0</v>
      </c>
      <c r="E97" s="7" t="s">
        <v>0</v>
      </c>
      <c r="F97" s="7" t="s">
        <v>35</v>
      </c>
      <c r="G97" s="7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7" t="s">
        <v>0</v>
      </c>
      <c r="N97" s="7" t="s">
        <v>0</v>
      </c>
      <c r="O97" s="7" t="s">
        <v>0</v>
      </c>
      <c r="P97" s="7" t="s">
        <v>0</v>
      </c>
      <c r="Q97" s="7" t="s">
        <v>0</v>
      </c>
      <c r="R97" s="7" t="s">
        <v>0</v>
      </c>
      <c r="S97" s="7" t="s">
        <v>0</v>
      </c>
      <c r="T97" s="7" t="s">
        <v>0</v>
      </c>
      <c r="U97" s="7" t="s">
        <v>0</v>
      </c>
      <c r="V97" s="7" t="s">
        <v>0</v>
      </c>
      <c r="W97" s="16" t="str">
        <f>HYPERLINK("http://www.aruplab.com/Testing-Information/resources/HotLines/HotLineDocs/Jul2025QHL/0097323.pdf","H")</f>
        <v>H</v>
      </c>
      <c r="X97" s="7" t="s">
        <v>0</v>
      </c>
      <c r="Y97" s="7" t="s">
        <v>0</v>
      </c>
      <c r="Z97" s="7" t="s">
        <v>0</v>
      </c>
      <c r="AA97" s="8">
        <v>45859</v>
      </c>
    </row>
    <row r="98" spans="1:27" ht="30" x14ac:dyDescent="0.25">
      <c r="A98" s="6" t="s">
        <v>300</v>
      </c>
      <c r="B98" s="6" t="s">
        <v>301</v>
      </c>
      <c r="C98" s="6" t="s">
        <v>302</v>
      </c>
      <c r="D98" s="7" t="s">
        <v>0</v>
      </c>
      <c r="E98" s="7" t="s">
        <v>0</v>
      </c>
      <c r="F98" s="7" t="s">
        <v>35</v>
      </c>
      <c r="G98" s="7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7" t="s">
        <v>0</v>
      </c>
      <c r="N98" s="7" t="s">
        <v>0</v>
      </c>
      <c r="O98" s="7" t="s">
        <v>0</v>
      </c>
      <c r="P98" s="7" t="s">
        <v>0</v>
      </c>
      <c r="Q98" s="7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16" t="str">
        <f>HYPERLINK("http://www.aruplab.com/Testing-Information/resources/HotLines/HotLineDocs/Jul2025QHL/0097636.pdf","H")</f>
        <v>H</v>
      </c>
      <c r="X98" s="7" t="s">
        <v>0</v>
      </c>
      <c r="Y98" s="7" t="s">
        <v>0</v>
      </c>
      <c r="Z98" s="7" t="s">
        <v>0</v>
      </c>
      <c r="AA98" s="8">
        <v>45859</v>
      </c>
    </row>
    <row r="99" spans="1:27" ht="30" x14ac:dyDescent="0.25">
      <c r="A99" s="6" t="s">
        <v>303</v>
      </c>
      <c r="B99" s="6" t="s">
        <v>304</v>
      </c>
      <c r="C99" s="6" t="s">
        <v>305</v>
      </c>
      <c r="D99" s="7" t="s">
        <v>0</v>
      </c>
      <c r="E99" s="7" t="s">
        <v>0</v>
      </c>
      <c r="F99" s="7" t="s">
        <v>35</v>
      </c>
      <c r="G99" s="7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7" t="s">
        <v>0</v>
      </c>
      <c r="N99" s="7" t="s">
        <v>0</v>
      </c>
      <c r="O99" s="7" t="s">
        <v>0</v>
      </c>
      <c r="P99" s="7" t="s">
        <v>0</v>
      </c>
      <c r="Q99" s="7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16" t="str">
        <f>HYPERLINK("http://www.aruplab.com/Testing-Information/resources/HotLines/HotLineDocs/Jul2025QHL/0097641.pdf","H")</f>
        <v>H</v>
      </c>
      <c r="X99" s="7" t="s">
        <v>0</v>
      </c>
      <c r="Y99" s="7" t="s">
        <v>0</v>
      </c>
      <c r="Z99" s="7" t="s">
        <v>0</v>
      </c>
      <c r="AA99" s="8">
        <v>45859</v>
      </c>
    </row>
    <row r="100" spans="1:27" ht="30" x14ac:dyDescent="0.25">
      <c r="A100" s="6" t="s">
        <v>306</v>
      </c>
      <c r="B100" s="6" t="s">
        <v>307</v>
      </c>
      <c r="C100" s="6" t="s">
        <v>308</v>
      </c>
      <c r="D100" s="7" t="s">
        <v>0</v>
      </c>
      <c r="E100" s="7" t="s">
        <v>0</v>
      </c>
      <c r="F100" s="7" t="s">
        <v>35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7" t="s">
        <v>0</v>
      </c>
      <c r="P100" s="7" t="s">
        <v>0</v>
      </c>
      <c r="Q100" s="7" t="s">
        <v>0</v>
      </c>
      <c r="R100" s="7" t="s">
        <v>0</v>
      </c>
      <c r="S100" s="7" t="s">
        <v>0</v>
      </c>
      <c r="T100" s="7" t="s">
        <v>0</v>
      </c>
      <c r="U100" s="7" t="s">
        <v>0</v>
      </c>
      <c r="V100" s="7" t="s">
        <v>0</v>
      </c>
      <c r="W100" s="16" t="str">
        <f>HYPERLINK("http://www.aruplab.com/Testing-Information/resources/HotLines/HotLineDocs/Jul2025QHL/0097642.pdf","H")</f>
        <v>H</v>
      </c>
      <c r="X100" s="7" t="s">
        <v>0</v>
      </c>
      <c r="Y100" s="7" t="s">
        <v>0</v>
      </c>
      <c r="Z100" s="7" t="s">
        <v>0</v>
      </c>
      <c r="AA100" s="8">
        <v>45859</v>
      </c>
    </row>
    <row r="101" spans="1:27" ht="30" x14ac:dyDescent="0.25">
      <c r="A101" s="6" t="s">
        <v>309</v>
      </c>
      <c r="B101" s="6" t="s">
        <v>310</v>
      </c>
      <c r="C101" s="6" t="s">
        <v>311</v>
      </c>
      <c r="D101" s="7" t="s">
        <v>0</v>
      </c>
      <c r="E101" s="7" t="s">
        <v>0</v>
      </c>
      <c r="F101" s="7" t="s">
        <v>35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7" t="s">
        <v>0</v>
      </c>
      <c r="P101" s="7" t="s">
        <v>0</v>
      </c>
      <c r="Q101" s="7" t="s">
        <v>0</v>
      </c>
      <c r="R101" s="7" t="s">
        <v>0</v>
      </c>
      <c r="S101" s="7" t="s">
        <v>0</v>
      </c>
      <c r="T101" s="7" t="s">
        <v>0</v>
      </c>
      <c r="U101" s="7" t="s">
        <v>0</v>
      </c>
      <c r="V101" s="7" t="s">
        <v>0</v>
      </c>
      <c r="W101" s="16" t="str">
        <f>HYPERLINK("http://www.aruplab.com/Testing-Information/resources/HotLines/HotLineDocs/Jul2025QHL/0097643.pdf","H")</f>
        <v>H</v>
      </c>
      <c r="X101" s="7" t="s">
        <v>0</v>
      </c>
      <c r="Y101" s="7" t="s">
        <v>0</v>
      </c>
      <c r="Z101" s="7" t="s">
        <v>0</v>
      </c>
      <c r="AA101" s="8">
        <v>45859</v>
      </c>
    </row>
    <row r="102" spans="1:27" x14ac:dyDescent="0.25">
      <c r="A102" s="6" t="s">
        <v>312</v>
      </c>
      <c r="B102" s="6" t="s">
        <v>313</v>
      </c>
      <c r="C102" s="6" t="s">
        <v>314</v>
      </c>
      <c r="D102" s="7" t="s">
        <v>0</v>
      </c>
      <c r="E102" s="7" t="s">
        <v>0</v>
      </c>
      <c r="F102" s="7" t="s">
        <v>35</v>
      </c>
      <c r="G102" s="7" t="s">
        <v>0</v>
      </c>
      <c r="H102" s="7" t="s">
        <v>0</v>
      </c>
      <c r="I102" s="7" t="s">
        <v>0</v>
      </c>
      <c r="J102" s="7" t="s">
        <v>0</v>
      </c>
      <c r="K102" s="7" t="s">
        <v>0</v>
      </c>
      <c r="L102" s="7" t="s">
        <v>0</v>
      </c>
      <c r="M102" s="7" t="s">
        <v>0</v>
      </c>
      <c r="N102" s="7" t="s">
        <v>0</v>
      </c>
      <c r="O102" s="7" t="s">
        <v>0</v>
      </c>
      <c r="P102" s="7" t="s">
        <v>0</v>
      </c>
      <c r="Q102" s="7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16" t="str">
        <f>HYPERLINK("http://www.aruplab.com/Testing-Information/resources/HotLines/HotLineDocs/Jul2025QHL/0097644.pdf","H")</f>
        <v>H</v>
      </c>
      <c r="X102" s="7" t="s">
        <v>0</v>
      </c>
      <c r="Y102" s="7" t="s">
        <v>0</v>
      </c>
      <c r="Z102" s="7" t="s">
        <v>0</v>
      </c>
      <c r="AA102" s="8">
        <v>45859</v>
      </c>
    </row>
    <row r="103" spans="1:27" ht="30" x14ac:dyDescent="0.25">
      <c r="A103" s="6" t="s">
        <v>315</v>
      </c>
      <c r="B103" s="6" t="s">
        <v>316</v>
      </c>
      <c r="C103" s="6" t="s">
        <v>317</v>
      </c>
      <c r="D103" s="7" t="s">
        <v>0</v>
      </c>
      <c r="E103" s="7" t="s">
        <v>0</v>
      </c>
      <c r="F103" s="7" t="s">
        <v>35</v>
      </c>
      <c r="G103" s="7" t="s">
        <v>0</v>
      </c>
      <c r="H103" s="7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7" t="s">
        <v>0</v>
      </c>
      <c r="P103" s="7" t="s">
        <v>0</v>
      </c>
      <c r="Q103" s="7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16" t="str">
        <f>HYPERLINK("http://www.aruplab.com/Testing-Information/resources/HotLines/HotLineDocs/Jul2025QHL/0097647.pdf","H")</f>
        <v>H</v>
      </c>
      <c r="X103" s="7" t="s">
        <v>0</v>
      </c>
      <c r="Y103" s="7" t="s">
        <v>0</v>
      </c>
      <c r="Z103" s="7" t="s">
        <v>0</v>
      </c>
      <c r="AA103" s="8">
        <v>45859</v>
      </c>
    </row>
    <row r="104" spans="1:27" ht="30" x14ac:dyDescent="0.25">
      <c r="A104" s="6" t="s">
        <v>318</v>
      </c>
      <c r="B104" s="6" t="s">
        <v>319</v>
      </c>
      <c r="C104" s="6" t="s">
        <v>320</v>
      </c>
      <c r="D104" s="7" t="s">
        <v>0</v>
      </c>
      <c r="E104" s="7" t="s">
        <v>0</v>
      </c>
      <c r="F104" s="7" t="s">
        <v>35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7" t="s">
        <v>0</v>
      </c>
      <c r="P104" s="7" t="s">
        <v>0</v>
      </c>
      <c r="Q104" s="7" t="s">
        <v>0</v>
      </c>
      <c r="R104" s="7" t="s">
        <v>0</v>
      </c>
      <c r="S104" s="7" t="s">
        <v>0</v>
      </c>
      <c r="T104" s="7" t="s">
        <v>0</v>
      </c>
      <c r="U104" s="7" t="s">
        <v>0</v>
      </c>
      <c r="V104" s="7" t="s">
        <v>0</v>
      </c>
      <c r="W104" s="16" t="str">
        <f>HYPERLINK("http://www.aruplab.com/Testing-Information/resources/HotLines/HotLineDocs/Jul2025QHL/0097648.pdf","H")</f>
        <v>H</v>
      </c>
      <c r="X104" s="7" t="s">
        <v>0</v>
      </c>
      <c r="Y104" s="7" t="s">
        <v>0</v>
      </c>
      <c r="Z104" s="7" t="s">
        <v>0</v>
      </c>
      <c r="AA104" s="8">
        <v>45859</v>
      </c>
    </row>
    <row r="105" spans="1:27" ht="30" x14ac:dyDescent="0.25">
      <c r="A105" s="6" t="s">
        <v>321</v>
      </c>
      <c r="B105" s="6" t="s">
        <v>322</v>
      </c>
      <c r="C105" s="6" t="s">
        <v>323</v>
      </c>
      <c r="D105" s="7" t="s">
        <v>0</v>
      </c>
      <c r="E105" s="7" t="s">
        <v>0</v>
      </c>
      <c r="F105" s="7" t="s">
        <v>35</v>
      </c>
      <c r="G105" s="7" t="s">
        <v>0</v>
      </c>
      <c r="H105" s="7" t="s">
        <v>0</v>
      </c>
      <c r="I105" s="7" t="s">
        <v>0</v>
      </c>
      <c r="J105" s="7" t="s">
        <v>0</v>
      </c>
      <c r="K105" s="7" t="s">
        <v>0</v>
      </c>
      <c r="L105" s="7" t="s">
        <v>0</v>
      </c>
      <c r="M105" s="7" t="s">
        <v>0</v>
      </c>
      <c r="N105" s="7" t="s">
        <v>0</v>
      </c>
      <c r="O105" s="7" t="s">
        <v>0</v>
      </c>
      <c r="P105" s="7" t="s">
        <v>0</v>
      </c>
      <c r="Q105" s="7" t="s">
        <v>0</v>
      </c>
      <c r="R105" s="7" t="s">
        <v>0</v>
      </c>
      <c r="S105" s="7" t="s">
        <v>0</v>
      </c>
      <c r="T105" s="7" t="s">
        <v>0</v>
      </c>
      <c r="U105" s="7" t="s">
        <v>0</v>
      </c>
      <c r="V105" s="7" t="s">
        <v>0</v>
      </c>
      <c r="W105" s="16" t="str">
        <f>HYPERLINK("http://www.aruplab.com/Testing-Information/resources/HotLines/HotLineDocs/Jul2025QHL/0097649.pdf","H")</f>
        <v>H</v>
      </c>
      <c r="X105" s="7" t="s">
        <v>0</v>
      </c>
      <c r="Y105" s="7" t="s">
        <v>0</v>
      </c>
      <c r="Z105" s="7" t="s">
        <v>0</v>
      </c>
      <c r="AA105" s="8">
        <v>45859</v>
      </c>
    </row>
    <row r="106" spans="1:27" ht="30" x14ac:dyDescent="0.25">
      <c r="A106" s="6" t="s">
        <v>324</v>
      </c>
      <c r="B106" s="6" t="s">
        <v>325</v>
      </c>
      <c r="C106" s="6" t="s">
        <v>326</v>
      </c>
      <c r="D106" s="7" t="s">
        <v>0</v>
      </c>
      <c r="E106" s="7" t="s">
        <v>0</v>
      </c>
      <c r="F106" s="7" t="s">
        <v>35</v>
      </c>
      <c r="G106" s="7" t="s">
        <v>0</v>
      </c>
      <c r="H106" s="7" t="s">
        <v>0</v>
      </c>
      <c r="I106" s="7" t="s">
        <v>0</v>
      </c>
      <c r="J106" s="7" t="s">
        <v>0</v>
      </c>
      <c r="K106" s="7" t="s">
        <v>0</v>
      </c>
      <c r="L106" s="7" t="s">
        <v>0</v>
      </c>
      <c r="M106" s="7" t="s">
        <v>0</v>
      </c>
      <c r="N106" s="7" t="s">
        <v>0</v>
      </c>
      <c r="O106" s="7" t="s">
        <v>0</v>
      </c>
      <c r="P106" s="7" t="s">
        <v>0</v>
      </c>
      <c r="Q106" s="7" t="s">
        <v>0</v>
      </c>
      <c r="R106" s="7" t="s">
        <v>0</v>
      </c>
      <c r="S106" s="7" t="s">
        <v>0</v>
      </c>
      <c r="T106" s="7" t="s">
        <v>0</v>
      </c>
      <c r="U106" s="7" t="s">
        <v>0</v>
      </c>
      <c r="V106" s="7" t="s">
        <v>0</v>
      </c>
      <c r="W106" s="16" t="str">
        <f>HYPERLINK("http://www.aruplab.com/Testing-Information/resources/HotLines/HotLineDocs/Jul2025QHL/0097651.pdf","H")</f>
        <v>H</v>
      </c>
      <c r="X106" s="7" t="s">
        <v>0</v>
      </c>
      <c r="Y106" s="7" t="s">
        <v>0</v>
      </c>
      <c r="Z106" s="7" t="s">
        <v>0</v>
      </c>
      <c r="AA106" s="8">
        <v>45859</v>
      </c>
    </row>
    <row r="107" spans="1:27" ht="30" x14ac:dyDescent="0.25">
      <c r="A107" s="6" t="s">
        <v>327</v>
      </c>
      <c r="B107" s="6" t="s">
        <v>328</v>
      </c>
      <c r="C107" s="6" t="s">
        <v>329</v>
      </c>
      <c r="D107" s="7" t="s">
        <v>0</v>
      </c>
      <c r="E107" s="7" t="s">
        <v>0</v>
      </c>
      <c r="F107" s="7" t="s">
        <v>35</v>
      </c>
      <c r="G107" s="7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7" t="s">
        <v>0</v>
      </c>
      <c r="N107" s="7" t="s">
        <v>0</v>
      </c>
      <c r="O107" s="7" t="s">
        <v>0</v>
      </c>
      <c r="P107" s="7" t="s">
        <v>0</v>
      </c>
      <c r="Q107" s="7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16" t="str">
        <f>HYPERLINK("http://www.aruplab.com/Testing-Information/resources/HotLines/HotLineDocs/Jul2025QHL/0097652.pdf","H")</f>
        <v>H</v>
      </c>
      <c r="X107" s="7" t="s">
        <v>0</v>
      </c>
      <c r="Y107" s="7" t="s">
        <v>0</v>
      </c>
      <c r="Z107" s="7" t="s">
        <v>0</v>
      </c>
      <c r="AA107" s="8">
        <v>45859</v>
      </c>
    </row>
    <row r="108" spans="1:27" ht="30" x14ac:dyDescent="0.25">
      <c r="A108" s="6" t="s">
        <v>330</v>
      </c>
      <c r="B108" s="6" t="s">
        <v>331</v>
      </c>
      <c r="C108" s="6" t="s">
        <v>332</v>
      </c>
      <c r="D108" s="7" t="s">
        <v>0</v>
      </c>
      <c r="E108" s="7" t="s">
        <v>0</v>
      </c>
      <c r="F108" s="7" t="s">
        <v>35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7" t="s">
        <v>0</v>
      </c>
      <c r="P108" s="7" t="s">
        <v>0</v>
      </c>
      <c r="Q108" s="7" t="s">
        <v>0</v>
      </c>
      <c r="R108" s="7" t="s">
        <v>0</v>
      </c>
      <c r="S108" s="7" t="s">
        <v>0</v>
      </c>
      <c r="T108" s="7" t="s">
        <v>0</v>
      </c>
      <c r="U108" s="7" t="s">
        <v>0</v>
      </c>
      <c r="V108" s="7" t="s">
        <v>0</v>
      </c>
      <c r="W108" s="16" t="str">
        <f>HYPERLINK("http://www.aruplab.com/Testing-Information/resources/HotLines/HotLineDocs/Jul2025QHL/0097653.pdf","H")</f>
        <v>H</v>
      </c>
      <c r="X108" s="7" t="s">
        <v>0</v>
      </c>
      <c r="Y108" s="7" t="s">
        <v>0</v>
      </c>
      <c r="Z108" s="7" t="s">
        <v>0</v>
      </c>
      <c r="AA108" s="8">
        <v>45859</v>
      </c>
    </row>
    <row r="109" spans="1:27" x14ac:dyDescent="0.25">
      <c r="A109" s="6" t="s">
        <v>333</v>
      </c>
      <c r="B109" s="6" t="s">
        <v>334</v>
      </c>
      <c r="C109" s="6" t="s">
        <v>335</v>
      </c>
      <c r="D109" s="7" t="s">
        <v>0</v>
      </c>
      <c r="E109" s="7" t="s">
        <v>0</v>
      </c>
      <c r="F109" s="7" t="s">
        <v>35</v>
      </c>
      <c r="G109" s="7" t="s">
        <v>0</v>
      </c>
      <c r="H109" s="7" t="s">
        <v>0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7" t="s">
        <v>0</v>
      </c>
      <c r="P109" s="7" t="s">
        <v>0</v>
      </c>
      <c r="Q109" s="7" t="s">
        <v>0</v>
      </c>
      <c r="R109" s="7" t="s">
        <v>0</v>
      </c>
      <c r="S109" s="7" t="s">
        <v>0</v>
      </c>
      <c r="T109" s="7" t="s">
        <v>0</v>
      </c>
      <c r="U109" s="7" t="s">
        <v>0</v>
      </c>
      <c r="V109" s="7" t="s">
        <v>0</v>
      </c>
      <c r="W109" s="16" t="str">
        <f>HYPERLINK("http://www.aruplab.com/Testing-Information/resources/HotLines/HotLineDocs/Jul2025QHL/0097654.pdf","H")</f>
        <v>H</v>
      </c>
      <c r="X109" s="7" t="s">
        <v>0</v>
      </c>
      <c r="Y109" s="7" t="s">
        <v>0</v>
      </c>
      <c r="Z109" s="7" t="s">
        <v>0</v>
      </c>
      <c r="AA109" s="8">
        <v>45859</v>
      </c>
    </row>
    <row r="110" spans="1:27" ht="30" x14ac:dyDescent="0.25">
      <c r="A110" s="6" t="s">
        <v>336</v>
      </c>
      <c r="B110" s="6" t="s">
        <v>337</v>
      </c>
      <c r="C110" s="6" t="s">
        <v>338</v>
      </c>
      <c r="D110" s="7" t="s">
        <v>0</v>
      </c>
      <c r="E110" s="7" t="s">
        <v>0</v>
      </c>
      <c r="F110" s="7" t="s">
        <v>35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7" t="s">
        <v>0</v>
      </c>
      <c r="P110" s="7" t="s">
        <v>0</v>
      </c>
      <c r="Q110" s="7" t="s">
        <v>0</v>
      </c>
      <c r="R110" s="7" t="s">
        <v>0</v>
      </c>
      <c r="S110" s="7" t="s">
        <v>0</v>
      </c>
      <c r="T110" s="7" t="s">
        <v>0</v>
      </c>
      <c r="U110" s="7" t="s">
        <v>0</v>
      </c>
      <c r="V110" s="7" t="s">
        <v>0</v>
      </c>
      <c r="W110" s="16" t="str">
        <f>HYPERLINK("http://www.aruplab.com/Testing-Information/resources/HotLines/HotLineDocs/Jul2025QHL/0097656.pdf","H")</f>
        <v>H</v>
      </c>
      <c r="X110" s="7" t="s">
        <v>0</v>
      </c>
      <c r="Y110" s="7" t="s">
        <v>0</v>
      </c>
      <c r="Z110" s="7" t="s">
        <v>0</v>
      </c>
      <c r="AA110" s="8">
        <v>45859</v>
      </c>
    </row>
    <row r="111" spans="1:27" ht="30" x14ac:dyDescent="0.25">
      <c r="A111" s="6" t="s">
        <v>339</v>
      </c>
      <c r="B111" s="6" t="s">
        <v>340</v>
      </c>
      <c r="C111" s="6" t="s">
        <v>341</v>
      </c>
      <c r="D111" s="7" t="s">
        <v>0</v>
      </c>
      <c r="E111" s="7" t="s">
        <v>0</v>
      </c>
      <c r="F111" s="7" t="s">
        <v>35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7" t="s">
        <v>0</v>
      </c>
      <c r="P111" s="7" t="s">
        <v>0</v>
      </c>
      <c r="Q111" s="7" t="s">
        <v>0</v>
      </c>
      <c r="R111" s="7" t="s">
        <v>0</v>
      </c>
      <c r="S111" s="7" t="s">
        <v>0</v>
      </c>
      <c r="T111" s="7" t="s">
        <v>0</v>
      </c>
      <c r="U111" s="7" t="s">
        <v>0</v>
      </c>
      <c r="V111" s="7" t="s">
        <v>0</v>
      </c>
      <c r="W111" s="16" t="str">
        <f>HYPERLINK("http://www.aruplab.com/Testing-Information/resources/HotLines/HotLineDocs/Jul2025QHL/0097657.pdf","H")</f>
        <v>H</v>
      </c>
      <c r="X111" s="7" t="s">
        <v>0</v>
      </c>
      <c r="Y111" s="7" t="s">
        <v>0</v>
      </c>
      <c r="Z111" s="7" t="s">
        <v>0</v>
      </c>
      <c r="AA111" s="8">
        <v>45859</v>
      </c>
    </row>
    <row r="112" spans="1:27" ht="30" x14ac:dyDescent="0.25">
      <c r="A112" s="6" t="s">
        <v>342</v>
      </c>
      <c r="B112" s="6" t="s">
        <v>343</v>
      </c>
      <c r="C112" s="6" t="s">
        <v>344</v>
      </c>
      <c r="D112" s="7" t="s">
        <v>0</v>
      </c>
      <c r="E112" s="7" t="s">
        <v>0</v>
      </c>
      <c r="F112" s="7" t="s">
        <v>35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7" t="s">
        <v>0</v>
      </c>
      <c r="P112" s="7" t="s">
        <v>0</v>
      </c>
      <c r="Q112" s="7" t="s">
        <v>0</v>
      </c>
      <c r="R112" s="7" t="s">
        <v>0</v>
      </c>
      <c r="S112" s="7" t="s">
        <v>0</v>
      </c>
      <c r="T112" s="7" t="s">
        <v>0</v>
      </c>
      <c r="U112" s="7" t="s">
        <v>0</v>
      </c>
      <c r="V112" s="7" t="s">
        <v>0</v>
      </c>
      <c r="W112" s="16" t="str">
        <f>HYPERLINK("http://www.aruplab.com/Testing-Information/resources/HotLines/HotLineDocs/Jul2025QHL/0097658.pdf","H")</f>
        <v>H</v>
      </c>
      <c r="X112" s="7" t="s">
        <v>0</v>
      </c>
      <c r="Y112" s="7" t="s">
        <v>0</v>
      </c>
      <c r="Z112" s="7" t="s">
        <v>0</v>
      </c>
      <c r="AA112" s="8">
        <v>45859</v>
      </c>
    </row>
    <row r="113" spans="1:27" ht="30" x14ac:dyDescent="0.25">
      <c r="A113" s="6" t="s">
        <v>345</v>
      </c>
      <c r="B113" s="6" t="s">
        <v>346</v>
      </c>
      <c r="C113" s="6" t="s">
        <v>347</v>
      </c>
      <c r="D113" s="7" t="s">
        <v>0</v>
      </c>
      <c r="E113" s="7" t="s">
        <v>0</v>
      </c>
      <c r="F113" s="7" t="s">
        <v>35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7" t="s">
        <v>0</v>
      </c>
      <c r="P113" s="7" t="s">
        <v>0</v>
      </c>
      <c r="Q113" s="7" t="s">
        <v>0</v>
      </c>
      <c r="R113" s="7" t="s">
        <v>0</v>
      </c>
      <c r="S113" s="7" t="s">
        <v>0</v>
      </c>
      <c r="T113" s="7" t="s">
        <v>0</v>
      </c>
      <c r="U113" s="7" t="s">
        <v>0</v>
      </c>
      <c r="V113" s="7" t="s">
        <v>0</v>
      </c>
      <c r="W113" s="16" t="str">
        <f>HYPERLINK("http://www.aruplab.com/Testing-Information/resources/HotLines/HotLineDocs/Jul2025QHL/0097659.pdf","H")</f>
        <v>H</v>
      </c>
      <c r="X113" s="7" t="s">
        <v>0</v>
      </c>
      <c r="Y113" s="7" t="s">
        <v>0</v>
      </c>
      <c r="Z113" s="7" t="s">
        <v>0</v>
      </c>
      <c r="AA113" s="8">
        <v>45859</v>
      </c>
    </row>
    <row r="114" spans="1:27" ht="30" x14ac:dyDescent="0.25">
      <c r="A114" s="6" t="s">
        <v>348</v>
      </c>
      <c r="B114" s="6" t="s">
        <v>349</v>
      </c>
      <c r="C114" s="6" t="s">
        <v>350</v>
      </c>
      <c r="D114" s="7" t="s">
        <v>0</v>
      </c>
      <c r="E114" s="7" t="s">
        <v>0</v>
      </c>
      <c r="F114" s="7" t="s">
        <v>35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7" t="s">
        <v>0</v>
      </c>
      <c r="P114" s="7" t="s">
        <v>0</v>
      </c>
      <c r="Q114" s="7" t="s">
        <v>0</v>
      </c>
      <c r="R114" s="7" t="s">
        <v>0</v>
      </c>
      <c r="S114" s="7" t="s">
        <v>0</v>
      </c>
      <c r="T114" s="7" t="s">
        <v>0</v>
      </c>
      <c r="U114" s="7" t="s">
        <v>0</v>
      </c>
      <c r="V114" s="7" t="s">
        <v>0</v>
      </c>
      <c r="W114" s="16" t="str">
        <f>HYPERLINK("http://www.aruplab.com/Testing-Information/resources/HotLines/HotLineDocs/Jul2025QHL/0097706.pdf","H")</f>
        <v>H</v>
      </c>
      <c r="X114" s="7" t="s">
        <v>0</v>
      </c>
      <c r="Y114" s="7" t="s">
        <v>0</v>
      </c>
      <c r="Z114" s="7" t="s">
        <v>0</v>
      </c>
      <c r="AA114" s="8">
        <v>45859</v>
      </c>
    </row>
    <row r="115" spans="1:27" ht="30" x14ac:dyDescent="0.25">
      <c r="A115" s="6" t="s">
        <v>351</v>
      </c>
      <c r="B115" s="6" t="s">
        <v>352</v>
      </c>
      <c r="C115" s="6" t="s">
        <v>353</v>
      </c>
      <c r="D115" s="7" t="s">
        <v>0</v>
      </c>
      <c r="E115" s="7" t="s">
        <v>0</v>
      </c>
      <c r="F115" s="7" t="s">
        <v>35</v>
      </c>
      <c r="G115" s="7" t="s">
        <v>0</v>
      </c>
      <c r="H115" s="7" t="s">
        <v>0</v>
      </c>
      <c r="I115" s="7" t="s">
        <v>0</v>
      </c>
      <c r="J115" s="7" t="s">
        <v>0</v>
      </c>
      <c r="K115" s="7" t="s">
        <v>0</v>
      </c>
      <c r="L115" s="7" t="s">
        <v>0</v>
      </c>
      <c r="M115" s="7" t="s">
        <v>0</v>
      </c>
      <c r="N115" s="7" t="s">
        <v>0</v>
      </c>
      <c r="O115" s="7" t="s">
        <v>0</v>
      </c>
      <c r="P115" s="7" t="s">
        <v>0</v>
      </c>
      <c r="Q115" s="7" t="s">
        <v>0</v>
      </c>
      <c r="R115" s="7" t="s">
        <v>0</v>
      </c>
      <c r="S115" s="7" t="s">
        <v>0</v>
      </c>
      <c r="T115" s="7" t="s">
        <v>0</v>
      </c>
      <c r="U115" s="7" t="s">
        <v>0</v>
      </c>
      <c r="V115" s="7" t="s">
        <v>0</v>
      </c>
      <c r="W115" s="16" t="str">
        <f>HYPERLINK("http://www.aruplab.com/Testing-Information/resources/HotLines/HotLineDocs/Jul2025QHL/0097707.pdf","H")</f>
        <v>H</v>
      </c>
      <c r="X115" s="7" t="s">
        <v>0</v>
      </c>
      <c r="Y115" s="7" t="s">
        <v>0</v>
      </c>
      <c r="Z115" s="7" t="s">
        <v>0</v>
      </c>
      <c r="AA115" s="8">
        <v>45859</v>
      </c>
    </row>
    <row r="116" spans="1:27" ht="30" x14ac:dyDescent="0.25">
      <c r="A116" s="6" t="s">
        <v>354</v>
      </c>
      <c r="B116" s="6" t="s">
        <v>355</v>
      </c>
      <c r="C116" s="6" t="s">
        <v>356</v>
      </c>
      <c r="D116" s="7" t="s">
        <v>0</v>
      </c>
      <c r="E116" s="7" t="s">
        <v>0</v>
      </c>
      <c r="F116" s="7" t="s">
        <v>35</v>
      </c>
      <c r="G116" s="7" t="s">
        <v>0</v>
      </c>
      <c r="H116" s="7" t="s">
        <v>0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7" t="s">
        <v>0</v>
      </c>
      <c r="P116" s="7" t="s">
        <v>0</v>
      </c>
      <c r="Q116" s="7" t="s">
        <v>0</v>
      </c>
      <c r="R116" s="7" t="s">
        <v>0</v>
      </c>
      <c r="S116" s="7" t="s">
        <v>0</v>
      </c>
      <c r="T116" s="7" t="s">
        <v>0</v>
      </c>
      <c r="U116" s="7" t="s">
        <v>0</v>
      </c>
      <c r="V116" s="7" t="s">
        <v>0</v>
      </c>
      <c r="W116" s="16" t="str">
        <f>HYPERLINK("http://www.aruplab.com/Testing-Information/resources/HotLines/HotLineDocs/Jul2025QHL/0097708.pdf","H")</f>
        <v>H</v>
      </c>
      <c r="X116" s="7" t="s">
        <v>0</v>
      </c>
      <c r="Y116" s="7" t="s">
        <v>0</v>
      </c>
      <c r="Z116" s="7" t="s">
        <v>0</v>
      </c>
      <c r="AA116" s="8">
        <v>45859</v>
      </c>
    </row>
    <row r="117" spans="1:27" ht="45" x14ac:dyDescent="0.25">
      <c r="A117" s="6" t="s">
        <v>357</v>
      </c>
      <c r="B117" s="6" t="s">
        <v>358</v>
      </c>
      <c r="C117" s="6" t="s">
        <v>359</v>
      </c>
      <c r="D117" s="7" t="s">
        <v>0</v>
      </c>
      <c r="E117" s="7" t="s">
        <v>0</v>
      </c>
      <c r="F117" s="7" t="s">
        <v>35</v>
      </c>
      <c r="G117" s="7" t="s">
        <v>0</v>
      </c>
      <c r="H117" s="7" t="s">
        <v>0</v>
      </c>
      <c r="I117" s="7" t="s">
        <v>0</v>
      </c>
      <c r="J117" s="7" t="s">
        <v>0</v>
      </c>
      <c r="K117" s="7" t="s">
        <v>0</v>
      </c>
      <c r="L117" s="7" t="s">
        <v>0</v>
      </c>
      <c r="M117" s="7" t="s">
        <v>0</v>
      </c>
      <c r="N117" s="7" t="s">
        <v>0</v>
      </c>
      <c r="O117" s="7" t="s">
        <v>0</v>
      </c>
      <c r="P117" s="7" t="s">
        <v>0</v>
      </c>
      <c r="Q117" s="7" t="s">
        <v>0</v>
      </c>
      <c r="R117" s="7" t="s">
        <v>0</v>
      </c>
      <c r="S117" s="7" t="s">
        <v>0</v>
      </c>
      <c r="T117" s="7" t="s">
        <v>0</v>
      </c>
      <c r="U117" s="7" t="s">
        <v>0</v>
      </c>
      <c r="V117" s="7" t="s">
        <v>0</v>
      </c>
      <c r="W117" s="16" t="str">
        <f>HYPERLINK("http://www.aruplab.com/Testing-Information/resources/HotLines/HotLineDocs/Jul2025QHL/0097773.pdf","H")</f>
        <v>H</v>
      </c>
      <c r="X117" s="7" t="s">
        <v>0</v>
      </c>
      <c r="Y117" s="7" t="s">
        <v>0</v>
      </c>
      <c r="Z117" s="7" t="s">
        <v>0</v>
      </c>
      <c r="AA117" s="8">
        <v>45859</v>
      </c>
    </row>
    <row r="118" spans="1:27" ht="30" x14ac:dyDescent="0.25">
      <c r="A118" s="6" t="s">
        <v>360</v>
      </c>
      <c r="B118" s="6" t="s">
        <v>361</v>
      </c>
      <c r="C118" s="6" t="s">
        <v>362</v>
      </c>
      <c r="D118" s="7" t="s">
        <v>0</v>
      </c>
      <c r="E118" s="7" t="s">
        <v>0</v>
      </c>
      <c r="F118" s="7" t="s">
        <v>0</v>
      </c>
      <c r="G118" s="7" t="s">
        <v>35</v>
      </c>
      <c r="H118" s="7" t="s">
        <v>0</v>
      </c>
      <c r="I118" s="7" t="s">
        <v>0</v>
      </c>
      <c r="J118" s="7" t="s">
        <v>0</v>
      </c>
      <c r="K118" s="7" t="s">
        <v>0</v>
      </c>
      <c r="L118" s="7" t="s">
        <v>0</v>
      </c>
      <c r="M118" s="7" t="s">
        <v>0</v>
      </c>
      <c r="N118" s="7" t="s">
        <v>0</v>
      </c>
      <c r="O118" s="7" t="s">
        <v>0</v>
      </c>
      <c r="P118" s="7" t="s">
        <v>0</v>
      </c>
      <c r="Q118" s="7" t="s">
        <v>35</v>
      </c>
      <c r="R118" s="7" t="s">
        <v>0</v>
      </c>
      <c r="S118" s="7" t="s">
        <v>0</v>
      </c>
      <c r="T118" s="7" t="s">
        <v>0</v>
      </c>
      <c r="U118" s="7" t="s">
        <v>0</v>
      </c>
      <c r="V118" s="7" t="s">
        <v>0</v>
      </c>
      <c r="W118" s="16" t="str">
        <f>HYPERLINK("http://www.aruplab.com/Testing-Information/resources/HotLines/HotLineDocs/Jul2025QHL/0098627.pdf","H")</f>
        <v>H</v>
      </c>
      <c r="X118" s="16" t="str">
        <f>HYPERLINK("http://www.aruplab.com/Testing-Information/resources/HotLines/TDMix/Jul2025QHL/0098627.xlsx","T")</f>
        <v>T</v>
      </c>
      <c r="Y118" s="16" t="str">
        <f>HYPERLINK("http://www.aruplab.com/Testing-Information/resources/HotLines/Sample_Reports/Jul2025QHL/0098627_Keppra (Levetiracetam)_Keppra.pdf","E")</f>
        <v>E</v>
      </c>
      <c r="Z118" s="7" t="s">
        <v>0</v>
      </c>
      <c r="AA118" s="8">
        <v>45859</v>
      </c>
    </row>
    <row r="119" spans="1:27" x14ac:dyDescent="0.25">
      <c r="A119" s="6" t="s">
        <v>363</v>
      </c>
      <c r="B119" s="6" t="s">
        <v>364</v>
      </c>
      <c r="C119" s="6" t="s">
        <v>365</v>
      </c>
      <c r="D119" s="7" t="s">
        <v>0</v>
      </c>
      <c r="E119" s="7" t="s">
        <v>0</v>
      </c>
      <c r="F119" s="7" t="s">
        <v>35</v>
      </c>
      <c r="G119" s="7" t="s">
        <v>0</v>
      </c>
      <c r="H119" s="7" t="s">
        <v>0</v>
      </c>
      <c r="I119" s="7" t="s">
        <v>0</v>
      </c>
      <c r="J119" s="7" t="s">
        <v>35</v>
      </c>
      <c r="K119" s="7" t="s">
        <v>0</v>
      </c>
      <c r="L119" s="7" t="s">
        <v>0</v>
      </c>
      <c r="M119" s="7" t="s">
        <v>0</v>
      </c>
      <c r="N119" s="7" t="s">
        <v>0</v>
      </c>
      <c r="O119" s="7" t="s">
        <v>0</v>
      </c>
      <c r="P119" s="7" t="s">
        <v>0</v>
      </c>
      <c r="Q119" s="7" t="s">
        <v>0</v>
      </c>
      <c r="R119" s="7" t="s">
        <v>0</v>
      </c>
      <c r="S119" s="7" t="s">
        <v>0</v>
      </c>
      <c r="T119" s="7" t="s">
        <v>0</v>
      </c>
      <c r="U119" s="7" t="s">
        <v>0</v>
      </c>
      <c r="V119" s="7" t="s">
        <v>0</v>
      </c>
      <c r="W119" s="16" t="str">
        <f>HYPERLINK("http://www.aruplab.com/Testing-Information/resources/HotLines/HotLineDocs/Jul2025QHL/0098830.pdf","H")</f>
        <v>H</v>
      </c>
      <c r="X119" s="7" t="s">
        <v>0</v>
      </c>
      <c r="Y119" s="7" t="s">
        <v>0</v>
      </c>
      <c r="Z119" s="7" t="s">
        <v>0</v>
      </c>
      <c r="AA119" s="8">
        <v>45859</v>
      </c>
    </row>
    <row r="120" spans="1:27" ht="30" x14ac:dyDescent="0.25">
      <c r="A120" s="6" t="s">
        <v>366</v>
      </c>
      <c r="B120" s="6" t="s">
        <v>367</v>
      </c>
      <c r="C120" s="6" t="s">
        <v>368</v>
      </c>
      <c r="D120" s="7" t="s">
        <v>0</v>
      </c>
      <c r="E120" s="7" t="s">
        <v>35</v>
      </c>
      <c r="F120" s="7" t="s">
        <v>0</v>
      </c>
      <c r="G120" s="7" t="s">
        <v>0</v>
      </c>
      <c r="H120" s="7" t="s">
        <v>0</v>
      </c>
      <c r="I120" s="7" t="s">
        <v>0</v>
      </c>
      <c r="J120" s="7" t="s">
        <v>35</v>
      </c>
      <c r="K120" s="7" t="s">
        <v>0</v>
      </c>
      <c r="L120" s="7" t="s">
        <v>35</v>
      </c>
      <c r="M120" s="7" t="s">
        <v>0</v>
      </c>
      <c r="N120" s="7" t="s">
        <v>0</v>
      </c>
      <c r="O120" s="7" t="s">
        <v>0</v>
      </c>
      <c r="P120" s="7" t="s">
        <v>0</v>
      </c>
      <c r="Q120" s="7" t="s">
        <v>0</v>
      </c>
      <c r="R120" s="7" t="s">
        <v>0</v>
      </c>
      <c r="S120" s="7" t="s">
        <v>0</v>
      </c>
      <c r="T120" s="7" t="s">
        <v>0</v>
      </c>
      <c r="U120" s="7" t="s">
        <v>0</v>
      </c>
      <c r="V120" s="7" t="s">
        <v>0</v>
      </c>
      <c r="W120" s="16" t="str">
        <f>HYPERLINK("http://www.aruplab.com/Testing-Information/resources/HotLines/HotLineDocs/Jul2025QHL/0099045.pdf","H")</f>
        <v>H</v>
      </c>
      <c r="X120" s="16" t="str">
        <f>HYPERLINK("http://www.aruplab.com/Testing-Information/resources/HotLines/TDMix/Jul2025QHL/0099045.xlsx","T")</f>
        <v>T</v>
      </c>
      <c r="Y120" s="7" t="s">
        <v>0</v>
      </c>
      <c r="Z120" s="7" t="s">
        <v>0</v>
      </c>
      <c r="AA120" s="8">
        <v>45859</v>
      </c>
    </row>
    <row r="121" spans="1:27" x14ac:dyDescent="0.25">
      <c r="A121" s="6" t="s">
        <v>369</v>
      </c>
      <c r="B121" s="6" t="s">
        <v>370</v>
      </c>
      <c r="C121" s="6" t="s">
        <v>371</v>
      </c>
      <c r="D121" s="7" t="s">
        <v>0</v>
      </c>
      <c r="E121" s="7" t="s">
        <v>35</v>
      </c>
      <c r="F121" s="7" t="s">
        <v>0</v>
      </c>
      <c r="G121" s="7" t="s">
        <v>0</v>
      </c>
      <c r="H121" s="7" t="s">
        <v>0</v>
      </c>
      <c r="I121" s="7" t="s">
        <v>0</v>
      </c>
      <c r="J121" s="7" t="s">
        <v>35</v>
      </c>
      <c r="K121" s="7" t="s">
        <v>35</v>
      </c>
      <c r="L121" s="7" t="s">
        <v>35</v>
      </c>
      <c r="M121" s="7" t="s">
        <v>0</v>
      </c>
      <c r="N121" s="7" t="s">
        <v>0</v>
      </c>
      <c r="O121" s="7" t="s">
        <v>0</v>
      </c>
      <c r="P121" s="7" t="s">
        <v>0</v>
      </c>
      <c r="Q121" s="7" t="s">
        <v>0</v>
      </c>
      <c r="R121" s="7" t="s">
        <v>0</v>
      </c>
      <c r="S121" s="7" t="s">
        <v>0</v>
      </c>
      <c r="T121" s="7" t="s">
        <v>0</v>
      </c>
      <c r="U121" s="7" t="s">
        <v>0</v>
      </c>
      <c r="V121" s="7" t="s">
        <v>0</v>
      </c>
      <c r="W121" s="16" t="str">
        <f>HYPERLINK("http://www.aruplab.com/Testing-Information/resources/HotLines/HotLineDocs/Jul2025QHL/0099231.pdf","H")</f>
        <v>H</v>
      </c>
      <c r="X121" s="16" t="str">
        <f>HYPERLINK("http://www.aruplab.com/Testing-Information/resources/HotLines/TDMix/Jul2025QHL/0099231.xlsx","T")</f>
        <v>T</v>
      </c>
      <c r="Y121" s="7" t="s">
        <v>0</v>
      </c>
      <c r="Z121" s="7" t="s">
        <v>0</v>
      </c>
      <c r="AA121" s="8">
        <v>45859</v>
      </c>
    </row>
    <row r="122" spans="1:27" ht="30" x14ac:dyDescent="0.25">
      <c r="A122" s="6" t="s">
        <v>372</v>
      </c>
      <c r="B122" s="6" t="s">
        <v>373</v>
      </c>
      <c r="C122" s="6" t="s">
        <v>374</v>
      </c>
      <c r="D122" s="7" t="s">
        <v>0</v>
      </c>
      <c r="E122" s="7" t="s">
        <v>0</v>
      </c>
      <c r="F122" s="7" t="s">
        <v>35</v>
      </c>
      <c r="G122" s="7" t="s">
        <v>0</v>
      </c>
      <c r="H122" s="7" t="s">
        <v>0</v>
      </c>
      <c r="I122" s="7" t="s">
        <v>0</v>
      </c>
      <c r="J122" s="7" t="s">
        <v>0</v>
      </c>
      <c r="K122" s="7" t="s">
        <v>0</v>
      </c>
      <c r="L122" s="7" t="s">
        <v>0</v>
      </c>
      <c r="M122" s="7" t="s">
        <v>0</v>
      </c>
      <c r="N122" s="7" t="s">
        <v>0</v>
      </c>
      <c r="O122" s="7" t="s">
        <v>0</v>
      </c>
      <c r="P122" s="7" t="s">
        <v>0</v>
      </c>
      <c r="Q122" s="7" t="s">
        <v>0</v>
      </c>
      <c r="R122" s="7" t="s">
        <v>0</v>
      </c>
      <c r="S122" s="7" t="s">
        <v>0</v>
      </c>
      <c r="T122" s="7" t="s">
        <v>0</v>
      </c>
      <c r="U122" s="7" t="s">
        <v>0</v>
      </c>
      <c r="V122" s="7" t="s">
        <v>0</v>
      </c>
      <c r="W122" s="16" t="str">
        <f>HYPERLINK("http://www.aruplab.com/Testing-Information/resources/HotLines/HotLineDocs/Jul2025QHL/0099249.pdf","H")</f>
        <v>H</v>
      </c>
      <c r="X122" s="7" t="s">
        <v>0</v>
      </c>
      <c r="Y122" s="7" t="s">
        <v>0</v>
      </c>
      <c r="Z122" s="7" t="s">
        <v>0</v>
      </c>
      <c r="AA122" s="8">
        <v>45859</v>
      </c>
    </row>
    <row r="123" spans="1:27" x14ac:dyDescent="0.25">
      <c r="A123" s="6" t="s">
        <v>375</v>
      </c>
      <c r="B123" s="6" t="s">
        <v>376</v>
      </c>
      <c r="C123" s="6" t="s">
        <v>377</v>
      </c>
      <c r="D123" s="7" t="s">
        <v>0</v>
      </c>
      <c r="E123" s="7" t="s">
        <v>0</v>
      </c>
      <c r="F123" s="7" t="s">
        <v>35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7" t="s">
        <v>0</v>
      </c>
      <c r="P123" s="7" t="s">
        <v>0</v>
      </c>
      <c r="Q123" s="7" t="s">
        <v>0</v>
      </c>
      <c r="R123" s="7" t="s">
        <v>0</v>
      </c>
      <c r="S123" s="7" t="s">
        <v>0</v>
      </c>
      <c r="T123" s="7" t="s">
        <v>0</v>
      </c>
      <c r="U123" s="7" t="s">
        <v>0</v>
      </c>
      <c r="V123" s="7" t="s">
        <v>0</v>
      </c>
      <c r="W123" s="16" t="str">
        <f>HYPERLINK("http://www.aruplab.com/Testing-Information/resources/HotLines/HotLineDocs/Jul2025QHL/0099266.pdf","H")</f>
        <v>H</v>
      </c>
      <c r="X123" s="7" t="s">
        <v>0</v>
      </c>
      <c r="Y123" s="7" t="s">
        <v>0</v>
      </c>
      <c r="Z123" s="7" t="s">
        <v>0</v>
      </c>
      <c r="AA123" s="8">
        <v>45859</v>
      </c>
    </row>
    <row r="124" spans="1:27" ht="30" x14ac:dyDescent="0.25">
      <c r="A124" s="6" t="s">
        <v>378</v>
      </c>
      <c r="B124" s="6" t="s">
        <v>379</v>
      </c>
      <c r="C124" s="6" t="s">
        <v>380</v>
      </c>
      <c r="D124" s="7" t="s">
        <v>0</v>
      </c>
      <c r="E124" s="7" t="s">
        <v>0</v>
      </c>
      <c r="F124" s="7" t="s">
        <v>0</v>
      </c>
      <c r="G124" s="7" t="s">
        <v>0</v>
      </c>
      <c r="H124" s="7" t="s">
        <v>0</v>
      </c>
      <c r="I124" s="7" t="s">
        <v>0</v>
      </c>
      <c r="J124" s="7" t="s">
        <v>35</v>
      </c>
      <c r="K124" s="7" t="s">
        <v>0</v>
      </c>
      <c r="L124" s="7" t="s">
        <v>35</v>
      </c>
      <c r="M124" s="7" t="s">
        <v>0</v>
      </c>
      <c r="N124" s="7" t="s">
        <v>0</v>
      </c>
      <c r="O124" s="7" t="s">
        <v>0</v>
      </c>
      <c r="P124" s="7" t="s">
        <v>0</v>
      </c>
      <c r="Q124" s="7" t="s">
        <v>0</v>
      </c>
      <c r="R124" s="7" t="s">
        <v>0</v>
      </c>
      <c r="S124" s="7" t="s">
        <v>0</v>
      </c>
      <c r="T124" s="7" t="s">
        <v>0</v>
      </c>
      <c r="U124" s="7" t="s">
        <v>0</v>
      </c>
      <c r="V124" s="7" t="s">
        <v>0</v>
      </c>
      <c r="W124" s="16" t="str">
        <f>HYPERLINK("http://www.aruplab.com/Testing-Information/resources/HotLines/HotLineDocs/Jul2025QHL/0099272.pdf","H")</f>
        <v>H</v>
      </c>
      <c r="X124" s="16" t="str">
        <f>HYPERLINK("http://www.aruplab.com/Testing-Information/resources/HotLines/TDMix/Jul2025QHL/0099272.xlsx","T")</f>
        <v>T</v>
      </c>
      <c r="Y124" s="7" t="s">
        <v>0</v>
      </c>
      <c r="Z124" s="7" t="s">
        <v>0</v>
      </c>
      <c r="AA124" s="8">
        <v>45859</v>
      </c>
    </row>
    <row r="125" spans="1:27" ht="30" x14ac:dyDescent="0.25">
      <c r="A125" s="6" t="s">
        <v>381</v>
      </c>
      <c r="B125" s="6" t="s">
        <v>382</v>
      </c>
      <c r="C125" s="6" t="s">
        <v>383</v>
      </c>
      <c r="D125" s="7" t="s">
        <v>0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0</v>
      </c>
      <c r="J125" s="7" t="s">
        <v>35</v>
      </c>
      <c r="K125" s="7" t="s">
        <v>0</v>
      </c>
      <c r="L125" s="7" t="s">
        <v>35</v>
      </c>
      <c r="M125" s="7" t="s">
        <v>0</v>
      </c>
      <c r="N125" s="7" t="s">
        <v>0</v>
      </c>
      <c r="O125" s="7" t="s">
        <v>0</v>
      </c>
      <c r="P125" s="7" t="s">
        <v>0</v>
      </c>
      <c r="Q125" s="7" t="s">
        <v>0</v>
      </c>
      <c r="R125" s="7" t="s">
        <v>0</v>
      </c>
      <c r="S125" s="7" t="s">
        <v>0</v>
      </c>
      <c r="T125" s="7" t="s">
        <v>0</v>
      </c>
      <c r="U125" s="7" t="s">
        <v>0</v>
      </c>
      <c r="V125" s="7" t="s">
        <v>0</v>
      </c>
      <c r="W125" s="16" t="str">
        <f>HYPERLINK("http://www.aruplab.com/Testing-Information/resources/HotLines/HotLineDocs/Jul2025QHL/0099305.pdf","H")</f>
        <v>H</v>
      </c>
      <c r="X125" s="16" t="str">
        <f>HYPERLINK("http://www.aruplab.com/Testing-Information/resources/HotLines/TDMix/Jul2025QHL/0099305.xlsx","T")</f>
        <v>T</v>
      </c>
      <c r="Y125" s="7" t="s">
        <v>0</v>
      </c>
      <c r="Z125" s="7" t="s">
        <v>0</v>
      </c>
      <c r="AA125" s="8">
        <v>45859</v>
      </c>
    </row>
    <row r="126" spans="1:27" x14ac:dyDescent="0.25">
      <c r="A126" s="6" t="s">
        <v>384</v>
      </c>
      <c r="B126" s="6" t="s">
        <v>385</v>
      </c>
      <c r="C126" s="6" t="s">
        <v>386</v>
      </c>
      <c r="D126" s="7" t="s">
        <v>0</v>
      </c>
      <c r="E126" s="7" t="s">
        <v>0</v>
      </c>
      <c r="F126" s="7" t="s">
        <v>35</v>
      </c>
      <c r="G126" s="7" t="s">
        <v>0</v>
      </c>
      <c r="H126" s="7" t="s">
        <v>0</v>
      </c>
      <c r="I126" s="7" t="s">
        <v>0</v>
      </c>
      <c r="J126" s="7" t="s">
        <v>35</v>
      </c>
      <c r="K126" s="7" t="s">
        <v>0</v>
      </c>
      <c r="L126" s="7" t="s">
        <v>0</v>
      </c>
      <c r="M126" s="7" t="s">
        <v>0</v>
      </c>
      <c r="N126" s="7" t="s">
        <v>0</v>
      </c>
      <c r="O126" s="7" t="s">
        <v>0</v>
      </c>
      <c r="P126" s="7" t="s">
        <v>0</v>
      </c>
      <c r="Q126" s="7" t="s">
        <v>0</v>
      </c>
      <c r="R126" s="7" t="s">
        <v>0</v>
      </c>
      <c r="S126" s="7" t="s">
        <v>0</v>
      </c>
      <c r="T126" s="7" t="s">
        <v>0</v>
      </c>
      <c r="U126" s="7" t="s">
        <v>0</v>
      </c>
      <c r="V126" s="7" t="s">
        <v>0</v>
      </c>
      <c r="W126" s="16" t="str">
        <f>HYPERLINK("http://www.aruplab.com/Testing-Information/resources/HotLines/HotLineDocs/Jul2025QHL/0099452.pdf","H")</f>
        <v>H</v>
      </c>
      <c r="X126" s="7" t="s">
        <v>0</v>
      </c>
      <c r="Y126" s="7" t="s">
        <v>0</v>
      </c>
      <c r="Z126" s="7" t="s">
        <v>0</v>
      </c>
      <c r="AA126" s="8">
        <v>45859</v>
      </c>
    </row>
    <row r="127" spans="1:27" ht="30" x14ac:dyDescent="0.25">
      <c r="A127" s="6" t="s">
        <v>387</v>
      </c>
      <c r="B127" s="6" t="s">
        <v>388</v>
      </c>
      <c r="C127" s="6" t="s">
        <v>389</v>
      </c>
      <c r="D127" s="7" t="s">
        <v>0</v>
      </c>
      <c r="E127" s="7" t="s">
        <v>35</v>
      </c>
      <c r="F127" s="7" t="s">
        <v>0</v>
      </c>
      <c r="G127" s="7" t="s">
        <v>0</v>
      </c>
      <c r="H127" s="7" t="s">
        <v>0</v>
      </c>
      <c r="I127" s="7" t="s">
        <v>0</v>
      </c>
      <c r="J127" s="7" t="s">
        <v>0</v>
      </c>
      <c r="K127" s="7" t="s">
        <v>35</v>
      </c>
      <c r="L127" s="7" t="s">
        <v>35</v>
      </c>
      <c r="M127" s="7" t="s">
        <v>0</v>
      </c>
      <c r="N127" s="7" t="s">
        <v>0</v>
      </c>
      <c r="O127" s="7" t="s">
        <v>0</v>
      </c>
      <c r="P127" s="7" t="s">
        <v>0</v>
      </c>
      <c r="Q127" s="7" t="s">
        <v>0</v>
      </c>
      <c r="R127" s="7" t="s">
        <v>0</v>
      </c>
      <c r="S127" s="7" t="s">
        <v>0</v>
      </c>
      <c r="T127" s="7" t="s">
        <v>0</v>
      </c>
      <c r="U127" s="7" t="s">
        <v>0</v>
      </c>
      <c r="V127" s="7" t="s">
        <v>0</v>
      </c>
      <c r="W127" s="16" t="str">
        <f>HYPERLINK("http://www.aruplab.com/Testing-Information/resources/HotLines/HotLineDocs/Jul2025QHL/0099470.pdf","H")</f>
        <v>H</v>
      </c>
      <c r="X127" s="16" t="str">
        <f>HYPERLINK("http://www.aruplab.com/Testing-Information/resources/HotLines/TDMix/Jul2025QHL/0099470.xlsx","T")</f>
        <v>T</v>
      </c>
      <c r="Y127" s="7" t="s">
        <v>0</v>
      </c>
      <c r="Z127" s="7" t="s">
        <v>0</v>
      </c>
      <c r="AA127" s="8">
        <v>45859</v>
      </c>
    </row>
    <row r="128" spans="1:27" x14ac:dyDescent="0.25">
      <c r="A128" s="6" t="s">
        <v>390</v>
      </c>
      <c r="B128" s="6" t="s">
        <v>391</v>
      </c>
      <c r="C128" s="6" t="s">
        <v>392</v>
      </c>
      <c r="D128" s="7" t="s">
        <v>0</v>
      </c>
      <c r="E128" s="7" t="s">
        <v>35</v>
      </c>
      <c r="F128" s="7" t="s">
        <v>0</v>
      </c>
      <c r="G128" s="7" t="s">
        <v>0</v>
      </c>
      <c r="H128" s="7" t="s">
        <v>0</v>
      </c>
      <c r="I128" s="7" t="s">
        <v>0</v>
      </c>
      <c r="J128" s="7" t="s">
        <v>35</v>
      </c>
      <c r="K128" s="7" t="s">
        <v>0</v>
      </c>
      <c r="L128" s="7" t="s">
        <v>0</v>
      </c>
      <c r="M128" s="7" t="s">
        <v>0</v>
      </c>
      <c r="N128" s="7" t="s">
        <v>0</v>
      </c>
      <c r="O128" s="7" t="s">
        <v>0</v>
      </c>
      <c r="P128" s="7" t="s">
        <v>0</v>
      </c>
      <c r="Q128" s="7" t="s">
        <v>0</v>
      </c>
      <c r="R128" s="7" t="s">
        <v>0</v>
      </c>
      <c r="S128" s="7" t="s">
        <v>0</v>
      </c>
      <c r="T128" s="7" t="s">
        <v>0</v>
      </c>
      <c r="U128" s="7" t="s">
        <v>0</v>
      </c>
      <c r="V128" s="7" t="s">
        <v>0</v>
      </c>
      <c r="W128" s="16" t="str">
        <f>HYPERLINK("http://www.aruplab.com/Testing-Information/resources/HotLines/HotLineDocs/Jul2025QHL/0099478.pdf","H")</f>
        <v>H</v>
      </c>
      <c r="X128" s="16" t="str">
        <f>HYPERLINK("http://www.aruplab.com/Testing-Information/resources/HotLines/TDMix/Jul2025QHL/0099478.xlsx","T")</f>
        <v>T</v>
      </c>
      <c r="Y128" s="7" t="s">
        <v>0</v>
      </c>
      <c r="Z128" s="7" t="s">
        <v>0</v>
      </c>
      <c r="AA128" s="8">
        <v>45859</v>
      </c>
    </row>
    <row r="129" spans="1:27" x14ac:dyDescent="0.25">
      <c r="A129" s="6" t="s">
        <v>393</v>
      </c>
      <c r="B129" s="6" t="s">
        <v>394</v>
      </c>
      <c r="C129" s="6" t="s">
        <v>395</v>
      </c>
      <c r="D129" s="7" t="s">
        <v>0</v>
      </c>
      <c r="E129" s="7" t="s">
        <v>0</v>
      </c>
      <c r="F129" s="7" t="s">
        <v>35</v>
      </c>
      <c r="G129" s="7" t="s">
        <v>0</v>
      </c>
      <c r="H129" s="7" t="s">
        <v>0</v>
      </c>
      <c r="I129" s="7" t="s">
        <v>0</v>
      </c>
      <c r="J129" s="7" t="s">
        <v>0</v>
      </c>
      <c r="K129" s="7" t="s">
        <v>0</v>
      </c>
      <c r="L129" s="7" t="s">
        <v>0</v>
      </c>
      <c r="M129" s="7" t="s">
        <v>0</v>
      </c>
      <c r="N129" s="7" t="s">
        <v>0</v>
      </c>
      <c r="O129" s="7" t="s">
        <v>0</v>
      </c>
      <c r="P129" s="7" t="s">
        <v>0</v>
      </c>
      <c r="Q129" s="7" t="s">
        <v>0</v>
      </c>
      <c r="R129" s="7" t="s">
        <v>0</v>
      </c>
      <c r="S129" s="7" t="s">
        <v>0</v>
      </c>
      <c r="T129" s="7" t="s">
        <v>0</v>
      </c>
      <c r="U129" s="7" t="s">
        <v>0</v>
      </c>
      <c r="V129" s="7" t="s">
        <v>0</v>
      </c>
      <c r="W129" s="16" t="str">
        <f>HYPERLINK("http://www.aruplab.com/Testing-Information/resources/HotLines/HotLineDocs/Jul2025QHL/0099592.pdf","H")</f>
        <v>H</v>
      </c>
      <c r="X129" s="7" t="s">
        <v>0</v>
      </c>
      <c r="Y129" s="7" t="s">
        <v>0</v>
      </c>
      <c r="Z129" s="7" t="s">
        <v>0</v>
      </c>
      <c r="AA129" s="8">
        <v>45859</v>
      </c>
    </row>
    <row r="130" spans="1:27" x14ac:dyDescent="0.25">
      <c r="A130" s="6" t="s">
        <v>396</v>
      </c>
      <c r="B130" s="6" t="s">
        <v>397</v>
      </c>
      <c r="C130" s="6" t="s">
        <v>398</v>
      </c>
      <c r="D130" s="7" t="s">
        <v>0</v>
      </c>
      <c r="E130" s="7" t="s">
        <v>0</v>
      </c>
      <c r="F130" s="7" t="s">
        <v>0</v>
      </c>
      <c r="G130" s="7" t="s">
        <v>0</v>
      </c>
      <c r="H130" s="7" t="s">
        <v>0</v>
      </c>
      <c r="I130" s="7" t="s">
        <v>0</v>
      </c>
      <c r="J130" s="7" t="s">
        <v>35</v>
      </c>
      <c r="K130" s="7" t="s">
        <v>0</v>
      </c>
      <c r="L130" s="7" t="s">
        <v>35</v>
      </c>
      <c r="M130" s="7" t="s">
        <v>0</v>
      </c>
      <c r="N130" s="7" t="s">
        <v>0</v>
      </c>
      <c r="O130" s="7" t="s">
        <v>0</v>
      </c>
      <c r="P130" s="7" t="s">
        <v>0</v>
      </c>
      <c r="Q130" s="7" t="s">
        <v>0</v>
      </c>
      <c r="R130" s="7" t="s">
        <v>0</v>
      </c>
      <c r="S130" s="7" t="s">
        <v>0</v>
      </c>
      <c r="T130" s="7" t="s">
        <v>0</v>
      </c>
      <c r="U130" s="7" t="s">
        <v>0</v>
      </c>
      <c r="V130" s="7" t="s">
        <v>0</v>
      </c>
      <c r="W130" s="16" t="str">
        <f>HYPERLINK("http://www.aruplab.com/Testing-Information/resources/HotLines/HotLineDocs/Jul2025QHL/0099610.pdf","H")</f>
        <v>H</v>
      </c>
      <c r="X130" s="16" t="str">
        <f>HYPERLINK("http://www.aruplab.com/Testing-Information/resources/HotLines/TDMix/Jul2025QHL/0099610.xlsx","T")</f>
        <v>T</v>
      </c>
      <c r="Y130" s="7" t="s">
        <v>0</v>
      </c>
      <c r="Z130" s="7" t="s">
        <v>0</v>
      </c>
      <c r="AA130" s="8">
        <v>45859</v>
      </c>
    </row>
    <row r="131" spans="1:27" ht="30" x14ac:dyDescent="0.25">
      <c r="A131" s="6" t="s">
        <v>399</v>
      </c>
      <c r="B131" s="6" t="s">
        <v>400</v>
      </c>
      <c r="C131" s="6" t="s">
        <v>401</v>
      </c>
      <c r="D131" s="7" t="s">
        <v>0</v>
      </c>
      <c r="E131" s="7" t="s">
        <v>35</v>
      </c>
      <c r="F131" s="7" t="s">
        <v>0</v>
      </c>
      <c r="G131" s="7" t="s">
        <v>0</v>
      </c>
      <c r="H131" s="7" t="s">
        <v>0</v>
      </c>
      <c r="I131" s="7" t="s">
        <v>0</v>
      </c>
      <c r="J131" s="7" t="s">
        <v>35</v>
      </c>
      <c r="K131" s="7" t="s">
        <v>0</v>
      </c>
      <c r="L131" s="7" t="s">
        <v>35</v>
      </c>
      <c r="M131" s="7" t="s">
        <v>0</v>
      </c>
      <c r="N131" s="7" t="s">
        <v>0</v>
      </c>
      <c r="O131" s="7" t="s">
        <v>0</v>
      </c>
      <c r="P131" s="7" t="s">
        <v>0</v>
      </c>
      <c r="Q131" s="7" t="s">
        <v>0</v>
      </c>
      <c r="R131" s="7" t="s">
        <v>0</v>
      </c>
      <c r="S131" s="7" t="s">
        <v>0</v>
      </c>
      <c r="T131" s="7" t="s">
        <v>0</v>
      </c>
      <c r="U131" s="7" t="s">
        <v>0</v>
      </c>
      <c r="V131" s="7" t="s">
        <v>0</v>
      </c>
      <c r="W131" s="16" t="str">
        <f>HYPERLINK("http://www.aruplab.com/Testing-Information/resources/HotLines/HotLineDocs/Jul2025QHL/0099675.pdf","H")</f>
        <v>H</v>
      </c>
      <c r="X131" s="16" t="str">
        <f>HYPERLINK("http://www.aruplab.com/Testing-Information/resources/HotLines/TDMix/Jul2025QHL/0099675.xlsx","T")</f>
        <v>T</v>
      </c>
      <c r="Y131" s="7" t="s">
        <v>0</v>
      </c>
      <c r="Z131" s="7" t="s">
        <v>0</v>
      </c>
      <c r="AA131" s="8">
        <v>45859</v>
      </c>
    </row>
    <row r="132" spans="1:27" ht="210" x14ac:dyDescent="0.25">
      <c r="A132" s="6" t="s">
        <v>402</v>
      </c>
      <c r="B132" s="6" t="s">
        <v>403</v>
      </c>
      <c r="C132" s="6" t="s">
        <v>404</v>
      </c>
      <c r="D132" s="7" t="s">
        <v>0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0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0</v>
      </c>
      <c r="O132" s="7" t="s">
        <v>0</v>
      </c>
      <c r="P132" s="7" t="s">
        <v>0</v>
      </c>
      <c r="Q132" s="7" t="s">
        <v>0</v>
      </c>
      <c r="R132" s="7" t="s">
        <v>0</v>
      </c>
      <c r="S132" s="7" t="s">
        <v>0</v>
      </c>
      <c r="T132" s="7" t="s">
        <v>0</v>
      </c>
      <c r="U132" s="7" t="s">
        <v>35</v>
      </c>
      <c r="V132" s="7" t="s">
        <v>0</v>
      </c>
      <c r="W132" s="16" t="str">
        <f>HYPERLINK("http://www.aruplab.com/Testing-Information/resources/HotLines/HotLineDocs/Jul2025QHL/2025.06.06 Jul Quarterly Hotline Inactivations.pdf","H")</f>
        <v>H</v>
      </c>
      <c r="X132" s="7" t="s">
        <v>0</v>
      </c>
      <c r="Y132" s="7" t="s">
        <v>0</v>
      </c>
      <c r="Z132" s="7" t="s">
        <v>0</v>
      </c>
      <c r="AA132" s="8">
        <v>45859</v>
      </c>
    </row>
    <row r="133" spans="1:27" ht="90" x14ac:dyDescent="0.25">
      <c r="A133" s="6" t="s">
        <v>405</v>
      </c>
      <c r="B133" s="6" t="s">
        <v>406</v>
      </c>
      <c r="C133" s="6" t="s">
        <v>407</v>
      </c>
      <c r="D133" s="7" t="s">
        <v>0</v>
      </c>
      <c r="E133" s="7" t="s">
        <v>0</v>
      </c>
      <c r="F133" s="7" t="s">
        <v>0</v>
      </c>
      <c r="G133" s="7" t="s">
        <v>0</v>
      </c>
      <c r="H133" s="7" t="s">
        <v>0</v>
      </c>
      <c r="I133" s="7" t="s">
        <v>0</v>
      </c>
      <c r="J133" s="7" t="s">
        <v>0</v>
      </c>
      <c r="K133" s="7" t="s">
        <v>0</v>
      </c>
      <c r="L133" s="7" t="s">
        <v>0</v>
      </c>
      <c r="M133" s="7" t="s">
        <v>0</v>
      </c>
      <c r="N133" s="7" t="s">
        <v>0</v>
      </c>
      <c r="O133" s="7" t="s">
        <v>0</v>
      </c>
      <c r="P133" s="7" t="s">
        <v>0</v>
      </c>
      <c r="Q133" s="7" t="s">
        <v>0</v>
      </c>
      <c r="R133" s="7" t="s">
        <v>0</v>
      </c>
      <c r="S133" s="7" t="s">
        <v>0</v>
      </c>
      <c r="T133" s="7" t="s">
        <v>0</v>
      </c>
      <c r="U133" s="7" t="s">
        <v>35</v>
      </c>
      <c r="V133" s="7" t="s">
        <v>0</v>
      </c>
      <c r="W133" s="16" t="str">
        <f>HYPERLINK("http://www.aruplab.com/Testing-Information/resources/HotLines/HotLineDocs/Jul2025QHL/2025.06.06 Jul Quarterly Hotline Inactivations.pdf","H")</f>
        <v>H</v>
      </c>
      <c r="X133" s="7" t="s">
        <v>0</v>
      </c>
      <c r="Y133" s="7" t="s">
        <v>0</v>
      </c>
      <c r="Z133" s="7" t="s">
        <v>0</v>
      </c>
      <c r="AA133" s="8">
        <v>45859</v>
      </c>
    </row>
    <row r="134" spans="1:27" ht="225" x14ac:dyDescent="0.25">
      <c r="A134" s="6" t="s">
        <v>408</v>
      </c>
      <c r="B134" s="6" t="s">
        <v>409</v>
      </c>
      <c r="C134" s="6" t="s">
        <v>410</v>
      </c>
      <c r="D134" s="7" t="s">
        <v>0</v>
      </c>
      <c r="E134" s="7" t="s">
        <v>0</v>
      </c>
      <c r="F134" s="7" t="s">
        <v>0</v>
      </c>
      <c r="G134" s="7" t="s">
        <v>0</v>
      </c>
      <c r="H134" s="7" t="s">
        <v>0</v>
      </c>
      <c r="I134" s="7" t="s">
        <v>0</v>
      </c>
      <c r="J134" s="7" t="s">
        <v>0</v>
      </c>
      <c r="K134" s="7" t="s">
        <v>0</v>
      </c>
      <c r="L134" s="7" t="s">
        <v>0</v>
      </c>
      <c r="M134" s="7" t="s">
        <v>0</v>
      </c>
      <c r="N134" s="7" t="s">
        <v>0</v>
      </c>
      <c r="O134" s="7" t="s">
        <v>0</v>
      </c>
      <c r="P134" s="7" t="s">
        <v>0</v>
      </c>
      <c r="Q134" s="7" t="s">
        <v>0</v>
      </c>
      <c r="R134" s="7" t="s">
        <v>0</v>
      </c>
      <c r="S134" s="7" t="s">
        <v>0</v>
      </c>
      <c r="T134" s="7" t="s">
        <v>0</v>
      </c>
      <c r="U134" s="7" t="s">
        <v>35</v>
      </c>
      <c r="V134" s="7" t="s">
        <v>0</v>
      </c>
      <c r="W134" s="16" t="str">
        <f>HYPERLINK("http://www.aruplab.com/Testing-Information/resources/HotLines/HotLineDocs/Jul2025QHL/2025.06.06 Jul Quarterly Hotline Inactivations.pdf","H")</f>
        <v>H</v>
      </c>
      <c r="X134" s="7" t="s">
        <v>0</v>
      </c>
      <c r="Y134" s="7" t="s">
        <v>0</v>
      </c>
      <c r="Z134" s="7" t="s">
        <v>0</v>
      </c>
      <c r="AA134" s="8">
        <v>45859</v>
      </c>
    </row>
    <row r="135" spans="1:27" ht="30" x14ac:dyDescent="0.25">
      <c r="A135" s="6" t="s">
        <v>411</v>
      </c>
      <c r="B135" s="6" t="s">
        <v>412</v>
      </c>
      <c r="C135" s="6" t="s">
        <v>413</v>
      </c>
      <c r="D135" s="7" t="s">
        <v>0</v>
      </c>
      <c r="E135" s="7" t="s">
        <v>0</v>
      </c>
      <c r="F135" s="7" t="s">
        <v>35</v>
      </c>
      <c r="G135" s="7" t="s">
        <v>0</v>
      </c>
      <c r="H135" s="7" t="s">
        <v>0</v>
      </c>
      <c r="I135" s="7" t="s">
        <v>0</v>
      </c>
      <c r="J135" s="7" t="s">
        <v>0</v>
      </c>
      <c r="K135" s="7" t="s">
        <v>0</v>
      </c>
      <c r="L135" s="7" t="s">
        <v>0</v>
      </c>
      <c r="M135" s="7" t="s">
        <v>0</v>
      </c>
      <c r="N135" s="7" t="s">
        <v>0</v>
      </c>
      <c r="O135" s="7" t="s">
        <v>0</v>
      </c>
      <c r="P135" s="7" t="s">
        <v>0</v>
      </c>
      <c r="Q135" s="7" t="s">
        <v>0</v>
      </c>
      <c r="R135" s="7" t="s">
        <v>0</v>
      </c>
      <c r="S135" s="7" t="s">
        <v>0</v>
      </c>
      <c r="T135" s="7" t="s">
        <v>0</v>
      </c>
      <c r="U135" s="7" t="s">
        <v>0</v>
      </c>
      <c r="V135" s="7" t="s">
        <v>0</v>
      </c>
      <c r="W135" s="16" t="str">
        <f>HYPERLINK("http://www.aruplab.com/Testing-Information/resources/HotLines/HotLineDocs/Jul2025QHL/2001763.pdf","H")</f>
        <v>H</v>
      </c>
      <c r="X135" s="7" t="s">
        <v>0</v>
      </c>
      <c r="Y135" s="7" t="s">
        <v>0</v>
      </c>
      <c r="Z135" s="7" t="s">
        <v>0</v>
      </c>
      <c r="AA135" s="8">
        <v>45859</v>
      </c>
    </row>
    <row r="136" spans="1:27" ht="60" x14ac:dyDescent="0.25">
      <c r="A136" s="6" t="s">
        <v>414</v>
      </c>
      <c r="B136" s="6" t="s">
        <v>415</v>
      </c>
      <c r="C136" s="6" t="s">
        <v>416</v>
      </c>
      <c r="D136" s="7" t="s">
        <v>0</v>
      </c>
      <c r="E136" s="7" t="s">
        <v>0</v>
      </c>
      <c r="F136" s="7" t="s">
        <v>35</v>
      </c>
      <c r="G136" s="7" t="s">
        <v>0</v>
      </c>
      <c r="H136" s="7" t="s">
        <v>0</v>
      </c>
      <c r="I136" s="7" t="s">
        <v>0</v>
      </c>
      <c r="J136" s="7" t="s">
        <v>0</v>
      </c>
      <c r="K136" s="7" t="s">
        <v>0</v>
      </c>
      <c r="L136" s="7" t="s">
        <v>0</v>
      </c>
      <c r="M136" s="7" t="s">
        <v>0</v>
      </c>
      <c r="N136" s="7" t="s">
        <v>0</v>
      </c>
      <c r="O136" s="7" t="s">
        <v>0</v>
      </c>
      <c r="P136" s="7" t="s">
        <v>0</v>
      </c>
      <c r="Q136" s="7" t="s">
        <v>0</v>
      </c>
      <c r="R136" s="7" t="s">
        <v>0</v>
      </c>
      <c r="S136" s="7" t="s">
        <v>0</v>
      </c>
      <c r="T136" s="7" t="s">
        <v>0</v>
      </c>
      <c r="U136" s="7" t="s">
        <v>0</v>
      </c>
      <c r="V136" s="7" t="s">
        <v>0</v>
      </c>
      <c r="W136" s="16" t="str">
        <f>HYPERLINK("http://www.aruplab.com/Testing-Information/resources/HotLines/HotLineDocs/Jul2025QHL/2002282.pdf","H")</f>
        <v>H</v>
      </c>
      <c r="X136" s="7" t="s">
        <v>0</v>
      </c>
      <c r="Y136" s="7" t="s">
        <v>0</v>
      </c>
      <c r="Z136" s="7" t="s">
        <v>0</v>
      </c>
      <c r="AA136" s="8">
        <v>45859</v>
      </c>
    </row>
    <row r="137" spans="1:27" ht="45" x14ac:dyDescent="0.25">
      <c r="A137" s="6" t="s">
        <v>417</v>
      </c>
      <c r="B137" s="6" t="s">
        <v>418</v>
      </c>
      <c r="C137" s="6" t="s">
        <v>419</v>
      </c>
      <c r="D137" s="7" t="s">
        <v>0</v>
      </c>
      <c r="E137" s="7" t="s">
        <v>0</v>
      </c>
      <c r="F137" s="7" t="s">
        <v>35</v>
      </c>
      <c r="G137" s="7" t="s">
        <v>0</v>
      </c>
      <c r="H137" s="7" t="s">
        <v>0</v>
      </c>
      <c r="I137" s="7" t="s">
        <v>0</v>
      </c>
      <c r="J137" s="7" t="s">
        <v>0</v>
      </c>
      <c r="K137" s="7" t="s">
        <v>0</v>
      </c>
      <c r="L137" s="7" t="s">
        <v>0</v>
      </c>
      <c r="M137" s="7" t="s">
        <v>0</v>
      </c>
      <c r="N137" s="7" t="s">
        <v>0</v>
      </c>
      <c r="O137" s="7" t="s">
        <v>0</v>
      </c>
      <c r="P137" s="7" t="s">
        <v>0</v>
      </c>
      <c r="Q137" s="7" t="s">
        <v>0</v>
      </c>
      <c r="R137" s="7" t="s">
        <v>0</v>
      </c>
      <c r="S137" s="7" t="s">
        <v>0</v>
      </c>
      <c r="T137" s="7" t="s">
        <v>0</v>
      </c>
      <c r="U137" s="7" t="s">
        <v>0</v>
      </c>
      <c r="V137" s="7" t="s">
        <v>0</v>
      </c>
      <c r="W137" s="16" t="str">
        <f>HYPERLINK("http://www.aruplab.com/Testing-Information/resources/HotLines/HotLineDocs/Jul2025QHL/2003248.pdf","H")</f>
        <v>H</v>
      </c>
      <c r="X137" s="7" t="s">
        <v>0</v>
      </c>
      <c r="Y137" s="7" t="s">
        <v>0</v>
      </c>
      <c r="Z137" s="7" t="s">
        <v>0</v>
      </c>
      <c r="AA137" s="8">
        <v>45859</v>
      </c>
    </row>
    <row r="138" spans="1:27" ht="75" x14ac:dyDescent="0.25">
      <c r="A138" s="6" t="s">
        <v>420</v>
      </c>
      <c r="B138" s="6" t="s">
        <v>421</v>
      </c>
      <c r="C138" s="6" t="s">
        <v>422</v>
      </c>
      <c r="D138" s="7" t="s">
        <v>0</v>
      </c>
      <c r="E138" s="7" t="s">
        <v>0</v>
      </c>
      <c r="F138" s="7" t="s">
        <v>35</v>
      </c>
      <c r="G138" s="7" t="s">
        <v>0</v>
      </c>
      <c r="H138" s="7" t="s">
        <v>0</v>
      </c>
      <c r="I138" s="7" t="s">
        <v>0</v>
      </c>
      <c r="J138" s="7" t="s">
        <v>0</v>
      </c>
      <c r="K138" s="7" t="s">
        <v>0</v>
      </c>
      <c r="L138" s="7" t="s">
        <v>0</v>
      </c>
      <c r="M138" s="7" t="s">
        <v>0</v>
      </c>
      <c r="N138" s="7" t="s">
        <v>0</v>
      </c>
      <c r="O138" s="7" t="s">
        <v>0</v>
      </c>
      <c r="P138" s="7" t="s">
        <v>0</v>
      </c>
      <c r="Q138" s="7" t="s">
        <v>0</v>
      </c>
      <c r="R138" s="7" t="s">
        <v>0</v>
      </c>
      <c r="S138" s="7" t="s">
        <v>0</v>
      </c>
      <c r="T138" s="7" t="s">
        <v>0</v>
      </c>
      <c r="U138" s="7" t="s">
        <v>0</v>
      </c>
      <c r="V138" s="7" t="s">
        <v>0</v>
      </c>
      <c r="W138" s="16" t="str">
        <f>HYPERLINK("http://www.aruplab.com/Testing-Information/resources/HotLines/HotLineDocs/Jul2025QHL/2004221.pdf","H")</f>
        <v>H</v>
      </c>
      <c r="X138" s="7" t="s">
        <v>0</v>
      </c>
      <c r="Y138" s="7" t="s">
        <v>0</v>
      </c>
      <c r="Z138" s="7" t="s">
        <v>0</v>
      </c>
      <c r="AA138" s="8">
        <v>45859</v>
      </c>
    </row>
    <row r="139" spans="1:27" x14ac:dyDescent="0.25">
      <c r="A139" s="6" t="s">
        <v>423</v>
      </c>
      <c r="B139" s="6" t="s">
        <v>424</v>
      </c>
      <c r="C139" s="6" t="s">
        <v>425</v>
      </c>
      <c r="D139" s="7" t="s">
        <v>0</v>
      </c>
      <c r="E139" s="7" t="s">
        <v>0</v>
      </c>
      <c r="F139" s="7" t="s">
        <v>0</v>
      </c>
      <c r="G139" s="7" t="s">
        <v>0</v>
      </c>
      <c r="H139" s="7" t="s">
        <v>0</v>
      </c>
      <c r="I139" s="7" t="s">
        <v>0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0</v>
      </c>
      <c r="O139" s="7" t="s">
        <v>0</v>
      </c>
      <c r="P139" s="7" t="s">
        <v>0</v>
      </c>
      <c r="Q139" s="7" t="s">
        <v>35</v>
      </c>
      <c r="R139" s="7" t="s">
        <v>0</v>
      </c>
      <c r="S139" s="7" t="s">
        <v>0</v>
      </c>
      <c r="T139" s="7" t="s">
        <v>0</v>
      </c>
      <c r="U139" s="7" t="s">
        <v>0</v>
      </c>
      <c r="V139" s="7" t="s">
        <v>0</v>
      </c>
      <c r="W139" s="16" t="str">
        <f>HYPERLINK("http://www.aruplab.com/Testing-Information/resources/HotLines/HotLineDocs/Jul2025QHL/2005248.pdf","H")</f>
        <v>H</v>
      </c>
      <c r="X139" s="7" t="s">
        <v>0</v>
      </c>
      <c r="Y139" s="16" t="str">
        <f>HYPERLINK("http://www.aruplab.com/Testing-Information/resources/HotLines/Sample_Reports/Jul2025QHL/2005248_Bilirubin, CSF_BILCSF.pdf","E")</f>
        <v>E</v>
      </c>
      <c r="Z139" s="7" t="s">
        <v>0</v>
      </c>
      <c r="AA139" s="8">
        <v>45859</v>
      </c>
    </row>
    <row r="140" spans="1:27" ht="30" x14ac:dyDescent="0.25">
      <c r="A140" s="6" t="s">
        <v>426</v>
      </c>
      <c r="B140" s="6" t="s">
        <v>427</v>
      </c>
      <c r="C140" s="6" t="s">
        <v>428</v>
      </c>
      <c r="D140" s="7" t="s">
        <v>0</v>
      </c>
      <c r="E140" s="7" t="s">
        <v>0</v>
      </c>
      <c r="F140" s="7" t="s">
        <v>0</v>
      </c>
      <c r="G140" s="7" t="s">
        <v>0</v>
      </c>
      <c r="H140" s="7" t="s">
        <v>35</v>
      </c>
      <c r="I140" s="7" t="s">
        <v>0</v>
      </c>
      <c r="J140" s="7" t="s">
        <v>0</v>
      </c>
      <c r="K140" s="7" t="s">
        <v>0</v>
      </c>
      <c r="L140" s="7" t="s">
        <v>0</v>
      </c>
      <c r="M140" s="7" t="s">
        <v>0</v>
      </c>
      <c r="N140" s="7" t="s">
        <v>0</v>
      </c>
      <c r="O140" s="7" t="s">
        <v>0</v>
      </c>
      <c r="P140" s="7" t="s">
        <v>0</v>
      </c>
      <c r="Q140" s="7" t="s">
        <v>0</v>
      </c>
      <c r="R140" s="7" t="s">
        <v>0</v>
      </c>
      <c r="S140" s="7" t="s">
        <v>0</v>
      </c>
      <c r="T140" s="7" t="s">
        <v>0</v>
      </c>
      <c r="U140" s="7" t="s">
        <v>0</v>
      </c>
      <c r="V140" s="7" t="s">
        <v>0</v>
      </c>
      <c r="W140" s="16" t="str">
        <f>HYPERLINK("http://www.aruplab.com/Testing-Information/resources/HotLines/HotLineDocs/Jul2025QHL/2005287.pdf","H")</f>
        <v>H</v>
      </c>
      <c r="X140" s="7" t="s">
        <v>0</v>
      </c>
      <c r="Y140" s="7" t="s">
        <v>0</v>
      </c>
      <c r="Z140" s="7" t="s">
        <v>0</v>
      </c>
      <c r="AA140" s="8">
        <v>45859</v>
      </c>
    </row>
    <row r="141" spans="1:27" ht="90" x14ac:dyDescent="0.25">
      <c r="A141" s="6" t="s">
        <v>429</v>
      </c>
      <c r="B141" s="6" t="s">
        <v>430</v>
      </c>
      <c r="C141" s="6" t="s">
        <v>431</v>
      </c>
      <c r="D141" s="7" t="s">
        <v>0</v>
      </c>
      <c r="E141" s="7" t="s">
        <v>0</v>
      </c>
      <c r="F141" s="7" t="s">
        <v>0</v>
      </c>
      <c r="G141" s="7" t="s">
        <v>0</v>
      </c>
      <c r="H141" s="7" t="s">
        <v>0</v>
      </c>
      <c r="I141" s="7" t="s">
        <v>0</v>
      </c>
      <c r="J141" s="7" t="s">
        <v>0</v>
      </c>
      <c r="K141" s="7" t="s">
        <v>0</v>
      </c>
      <c r="L141" s="7" t="s">
        <v>0</v>
      </c>
      <c r="M141" s="7" t="s">
        <v>0</v>
      </c>
      <c r="N141" s="7" t="s">
        <v>0</v>
      </c>
      <c r="O141" s="7" t="s">
        <v>0</v>
      </c>
      <c r="P141" s="7" t="s">
        <v>0</v>
      </c>
      <c r="Q141" s="7" t="s">
        <v>0</v>
      </c>
      <c r="R141" s="7" t="s">
        <v>0</v>
      </c>
      <c r="S141" s="7" t="s">
        <v>0</v>
      </c>
      <c r="T141" s="7" t="s">
        <v>0</v>
      </c>
      <c r="U141" s="7" t="s">
        <v>35</v>
      </c>
      <c r="V141" s="7" t="s">
        <v>0</v>
      </c>
      <c r="W141" s="16" t="str">
        <f>HYPERLINK("http://www.aruplab.com/Testing-Information/resources/HotLines/HotLineDocs/Jul2025QHL/2025.06.06 Jul Quarterly Hotline Inactivations.pdf","H")</f>
        <v>H</v>
      </c>
      <c r="X141" s="7" t="s">
        <v>0</v>
      </c>
      <c r="Y141" s="7" t="s">
        <v>0</v>
      </c>
      <c r="Z141" s="7" t="s">
        <v>0</v>
      </c>
      <c r="AA141" s="8">
        <v>45859</v>
      </c>
    </row>
    <row r="142" spans="1:27" ht="60" x14ac:dyDescent="0.25">
      <c r="A142" s="6" t="s">
        <v>432</v>
      </c>
      <c r="B142" s="6" t="s">
        <v>433</v>
      </c>
      <c r="C142" s="6" t="s">
        <v>434</v>
      </c>
      <c r="D142" s="7" t="s">
        <v>0</v>
      </c>
      <c r="E142" s="7" t="s">
        <v>0</v>
      </c>
      <c r="F142" s="7" t="s">
        <v>35</v>
      </c>
      <c r="G142" s="7" t="s">
        <v>0</v>
      </c>
      <c r="H142" s="7" t="s">
        <v>0</v>
      </c>
      <c r="I142" s="7" t="s">
        <v>0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7" t="s">
        <v>0</v>
      </c>
      <c r="P142" s="7" t="s">
        <v>0</v>
      </c>
      <c r="Q142" s="7" t="s">
        <v>0</v>
      </c>
      <c r="R142" s="7" t="s">
        <v>0</v>
      </c>
      <c r="S142" s="7" t="s">
        <v>0</v>
      </c>
      <c r="T142" s="7" t="s">
        <v>0</v>
      </c>
      <c r="U142" s="7" t="s">
        <v>0</v>
      </c>
      <c r="V142" s="7" t="s">
        <v>0</v>
      </c>
      <c r="W142" s="16" t="str">
        <f>HYPERLINK("http://www.aruplab.com/Testing-Information/resources/HotLines/HotLineDocs/Jul2025QHL/2005779.pdf","H")</f>
        <v>H</v>
      </c>
      <c r="X142" s="7" t="s">
        <v>0</v>
      </c>
      <c r="Y142" s="7" t="s">
        <v>0</v>
      </c>
      <c r="Z142" s="7" t="s">
        <v>0</v>
      </c>
      <c r="AA142" s="8">
        <v>45859</v>
      </c>
    </row>
    <row r="143" spans="1:27" ht="30" x14ac:dyDescent="0.25">
      <c r="A143" s="6" t="s">
        <v>435</v>
      </c>
      <c r="B143" s="6" t="s">
        <v>436</v>
      </c>
      <c r="C143" s="6" t="s">
        <v>437</v>
      </c>
      <c r="D143" s="7" t="s">
        <v>0</v>
      </c>
      <c r="E143" s="7" t="s">
        <v>0</v>
      </c>
      <c r="F143" s="7" t="s">
        <v>0</v>
      </c>
      <c r="G143" s="7" t="s">
        <v>0</v>
      </c>
      <c r="H143" s="7" t="s">
        <v>0</v>
      </c>
      <c r="I143" s="7" t="s">
        <v>35</v>
      </c>
      <c r="J143" s="7" t="s">
        <v>35</v>
      </c>
      <c r="K143" s="7" t="s">
        <v>0</v>
      </c>
      <c r="L143" s="7" t="s">
        <v>0</v>
      </c>
      <c r="M143" s="7" t="s">
        <v>0</v>
      </c>
      <c r="N143" s="7" t="s">
        <v>0</v>
      </c>
      <c r="O143" s="7" t="s">
        <v>0</v>
      </c>
      <c r="P143" s="7" t="s">
        <v>0</v>
      </c>
      <c r="Q143" s="7" t="s">
        <v>0</v>
      </c>
      <c r="R143" s="7" t="s">
        <v>0</v>
      </c>
      <c r="S143" s="7" t="s">
        <v>0</v>
      </c>
      <c r="T143" s="7" t="s">
        <v>0</v>
      </c>
      <c r="U143" s="7" t="s">
        <v>0</v>
      </c>
      <c r="V143" s="7" t="s">
        <v>0</v>
      </c>
      <c r="W143" s="16" t="str">
        <f>HYPERLINK("http://www.aruplab.com/Testing-Information/resources/HotLines/HotLineDocs/Jul2025QHL/2007192.pdf","H")</f>
        <v>H</v>
      </c>
      <c r="X143" s="7" t="s">
        <v>0</v>
      </c>
      <c r="Y143" s="16" t="str">
        <f>HYPERLINK("http://www.aruplab.com/Testing-Information/resources/HotLines/Sample_Reports/Jul2025QHL/2007192_Adenovirus, Quantitative PCR_ADENO QNT.pdf","E")</f>
        <v>E</v>
      </c>
      <c r="Z143" s="7" t="s">
        <v>0</v>
      </c>
      <c r="AA143" s="8">
        <v>45859</v>
      </c>
    </row>
    <row r="144" spans="1:27" ht="30" x14ac:dyDescent="0.25">
      <c r="A144" s="6" t="s">
        <v>438</v>
      </c>
      <c r="B144" s="6" t="s">
        <v>439</v>
      </c>
      <c r="C144" s="6" t="s">
        <v>440</v>
      </c>
      <c r="D144" s="7" t="s">
        <v>0</v>
      </c>
      <c r="E144" s="7" t="s">
        <v>0</v>
      </c>
      <c r="F144" s="7" t="s">
        <v>35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7" t="s">
        <v>0</v>
      </c>
      <c r="P144" s="7" t="s">
        <v>0</v>
      </c>
      <c r="Q144" s="7" t="s">
        <v>0</v>
      </c>
      <c r="R144" s="7" t="s">
        <v>0</v>
      </c>
      <c r="S144" s="7" t="s">
        <v>0</v>
      </c>
      <c r="T144" s="7" t="s">
        <v>0</v>
      </c>
      <c r="U144" s="7" t="s">
        <v>0</v>
      </c>
      <c r="V144" s="7" t="s">
        <v>0</v>
      </c>
      <c r="W144" s="16" t="str">
        <f>HYPERLINK("http://www.aruplab.com/Testing-Information/resources/HotLines/HotLineDocs/Jul2025QHL/2007211.pdf","H")</f>
        <v>H</v>
      </c>
      <c r="X144" s="7" t="s">
        <v>0</v>
      </c>
      <c r="Y144" s="7" t="s">
        <v>0</v>
      </c>
      <c r="Z144" s="7" t="s">
        <v>0</v>
      </c>
      <c r="AA144" s="8">
        <v>45859</v>
      </c>
    </row>
    <row r="145" spans="1:27" ht="30" x14ac:dyDescent="0.25">
      <c r="A145" s="6" t="s">
        <v>441</v>
      </c>
      <c r="B145" s="6" t="s">
        <v>442</v>
      </c>
      <c r="C145" s="6" t="s">
        <v>443</v>
      </c>
      <c r="D145" s="7" t="s">
        <v>0</v>
      </c>
      <c r="E145" s="7" t="s">
        <v>0</v>
      </c>
      <c r="F145" s="7" t="s">
        <v>35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7" t="s">
        <v>0</v>
      </c>
      <c r="P145" s="7" t="s">
        <v>0</v>
      </c>
      <c r="Q145" s="7" t="s">
        <v>0</v>
      </c>
      <c r="R145" s="7" t="s">
        <v>0</v>
      </c>
      <c r="S145" s="7" t="s">
        <v>0</v>
      </c>
      <c r="T145" s="7" t="s">
        <v>0</v>
      </c>
      <c r="U145" s="7" t="s">
        <v>0</v>
      </c>
      <c r="V145" s="7" t="s">
        <v>0</v>
      </c>
      <c r="W145" s="16" t="str">
        <f>HYPERLINK("http://www.aruplab.com/Testing-Information/resources/HotLines/HotLineDocs/Jul2025QHL/2007213.pdf","H")</f>
        <v>H</v>
      </c>
      <c r="X145" s="7" t="s">
        <v>0</v>
      </c>
      <c r="Y145" s="7" t="s">
        <v>0</v>
      </c>
      <c r="Z145" s="7" t="s">
        <v>0</v>
      </c>
      <c r="AA145" s="8">
        <v>45859</v>
      </c>
    </row>
    <row r="146" spans="1:27" ht="30" x14ac:dyDescent="0.25">
      <c r="A146" s="6" t="s">
        <v>444</v>
      </c>
      <c r="B146" s="6" t="s">
        <v>445</v>
      </c>
      <c r="C146" s="6" t="s">
        <v>446</v>
      </c>
      <c r="D146" s="7" t="s">
        <v>0</v>
      </c>
      <c r="E146" s="7" t="s">
        <v>0</v>
      </c>
      <c r="F146" s="7" t="s">
        <v>35</v>
      </c>
      <c r="G146" s="7" t="s">
        <v>0</v>
      </c>
      <c r="H146" s="7" t="s">
        <v>0</v>
      </c>
      <c r="I146" s="7" t="s">
        <v>0</v>
      </c>
      <c r="J146" s="7" t="s">
        <v>0</v>
      </c>
      <c r="K146" s="7" t="s">
        <v>0</v>
      </c>
      <c r="L146" s="7" t="s">
        <v>0</v>
      </c>
      <c r="M146" s="7" t="s">
        <v>0</v>
      </c>
      <c r="N146" s="7" t="s">
        <v>0</v>
      </c>
      <c r="O146" s="7" t="s">
        <v>0</v>
      </c>
      <c r="P146" s="7" t="s">
        <v>0</v>
      </c>
      <c r="Q146" s="7" t="s">
        <v>0</v>
      </c>
      <c r="R146" s="7" t="s">
        <v>0</v>
      </c>
      <c r="S146" s="7" t="s">
        <v>0</v>
      </c>
      <c r="T146" s="7" t="s">
        <v>0</v>
      </c>
      <c r="U146" s="7" t="s">
        <v>0</v>
      </c>
      <c r="V146" s="7" t="s">
        <v>0</v>
      </c>
      <c r="W146" s="16" t="str">
        <f>HYPERLINK("http://www.aruplab.com/Testing-Information/resources/HotLines/HotLineDocs/Jul2025QHL/2007214.pdf","H")</f>
        <v>H</v>
      </c>
      <c r="X146" s="7" t="s">
        <v>0</v>
      </c>
      <c r="Y146" s="7" t="s">
        <v>0</v>
      </c>
      <c r="Z146" s="7" t="s">
        <v>0</v>
      </c>
      <c r="AA146" s="8">
        <v>45859</v>
      </c>
    </row>
    <row r="147" spans="1:27" ht="30" x14ac:dyDescent="0.25">
      <c r="A147" s="6" t="s">
        <v>447</v>
      </c>
      <c r="B147" s="6" t="s">
        <v>448</v>
      </c>
      <c r="C147" s="6" t="s">
        <v>449</v>
      </c>
      <c r="D147" s="7" t="s">
        <v>0</v>
      </c>
      <c r="E147" s="7" t="s">
        <v>0</v>
      </c>
      <c r="F147" s="7" t="s">
        <v>35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7" t="s">
        <v>0</v>
      </c>
      <c r="P147" s="7" t="s">
        <v>0</v>
      </c>
      <c r="Q147" s="7" t="s">
        <v>0</v>
      </c>
      <c r="R147" s="7" t="s">
        <v>0</v>
      </c>
      <c r="S147" s="7" t="s">
        <v>0</v>
      </c>
      <c r="T147" s="7" t="s">
        <v>0</v>
      </c>
      <c r="U147" s="7" t="s">
        <v>0</v>
      </c>
      <c r="V147" s="7" t="s">
        <v>0</v>
      </c>
      <c r="W147" s="16" t="str">
        <f>HYPERLINK("http://www.aruplab.com/Testing-Information/resources/HotLines/HotLineDocs/Jul2025QHL/2007215.pdf","H")</f>
        <v>H</v>
      </c>
      <c r="X147" s="7" t="s">
        <v>0</v>
      </c>
      <c r="Y147" s="7" t="s">
        <v>0</v>
      </c>
      <c r="Z147" s="7" t="s">
        <v>0</v>
      </c>
      <c r="AA147" s="8">
        <v>45859</v>
      </c>
    </row>
    <row r="148" spans="1:27" ht="30" x14ac:dyDescent="0.25">
      <c r="A148" s="6" t="s">
        <v>450</v>
      </c>
      <c r="B148" s="6" t="s">
        <v>451</v>
      </c>
      <c r="C148" s="6" t="s">
        <v>452</v>
      </c>
      <c r="D148" s="7" t="s">
        <v>0</v>
      </c>
      <c r="E148" s="7" t="s">
        <v>0</v>
      </c>
      <c r="F148" s="7" t="s">
        <v>35</v>
      </c>
      <c r="G148" s="7" t="s">
        <v>0</v>
      </c>
      <c r="H148" s="7" t="s">
        <v>0</v>
      </c>
      <c r="I148" s="7" t="s">
        <v>0</v>
      </c>
      <c r="J148" s="7" t="s">
        <v>0</v>
      </c>
      <c r="K148" s="7" t="s">
        <v>0</v>
      </c>
      <c r="L148" s="7" t="s">
        <v>0</v>
      </c>
      <c r="M148" s="7" t="s">
        <v>0</v>
      </c>
      <c r="N148" s="7" t="s">
        <v>0</v>
      </c>
      <c r="O148" s="7" t="s">
        <v>0</v>
      </c>
      <c r="P148" s="7" t="s">
        <v>0</v>
      </c>
      <c r="Q148" s="7" t="s">
        <v>0</v>
      </c>
      <c r="R148" s="7" t="s">
        <v>0</v>
      </c>
      <c r="S148" s="7" t="s">
        <v>0</v>
      </c>
      <c r="T148" s="7" t="s">
        <v>0</v>
      </c>
      <c r="U148" s="7" t="s">
        <v>0</v>
      </c>
      <c r="V148" s="7" t="s">
        <v>0</v>
      </c>
      <c r="W148" s="16" t="str">
        <f>HYPERLINK("http://www.aruplab.com/Testing-Information/resources/HotLines/HotLineDocs/Jul2025QHL/2007216.pdf","H")</f>
        <v>H</v>
      </c>
      <c r="X148" s="7" t="s">
        <v>0</v>
      </c>
      <c r="Y148" s="7" t="s">
        <v>0</v>
      </c>
      <c r="Z148" s="7" t="s">
        <v>0</v>
      </c>
      <c r="AA148" s="8">
        <v>45859</v>
      </c>
    </row>
    <row r="149" spans="1:27" ht="30" x14ac:dyDescent="0.25">
      <c r="A149" s="6" t="s">
        <v>453</v>
      </c>
      <c r="B149" s="6" t="s">
        <v>454</v>
      </c>
      <c r="C149" s="6" t="s">
        <v>455</v>
      </c>
      <c r="D149" s="7" t="s">
        <v>0</v>
      </c>
      <c r="E149" s="7" t="s">
        <v>0</v>
      </c>
      <c r="F149" s="7" t="s">
        <v>0</v>
      </c>
      <c r="G149" s="7" t="s">
        <v>0</v>
      </c>
      <c r="H149" s="7" t="s">
        <v>35</v>
      </c>
      <c r="I149" s="7" t="s">
        <v>0</v>
      </c>
      <c r="J149" s="7" t="s">
        <v>0</v>
      </c>
      <c r="K149" s="7" t="s">
        <v>0</v>
      </c>
      <c r="L149" s="7" t="s">
        <v>0</v>
      </c>
      <c r="M149" s="7" t="s">
        <v>0</v>
      </c>
      <c r="N149" s="7" t="s">
        <v>0</v>
      </c>
      <c r="O149" s="7" t="s">
        <v>0</v>
      </c>
      <c r="P149" s="7" t="s">
        <v>0</v>
      </c>
      <c r="Q149" s="7" t="s">
        <v>0</v>
      </c>
      <c r="R149" s="7" t="s">
        <v>0</v>
      </c>
      <c r="S149" s="7" t="s">
        <v>0</v>
      </c>
      <c r="T149" s="7" t="s">
        <v>0</v>
      </c>
      <c r="U149" s="7" t="s">
        <v>0</v>
      </c>
      <c r="V149" s="7" t="s">
        <v>0</v>
      </c>
      <c r="W149" s="16" t="str">
        <f>HYPERLINK("http://www.aruplab.com/Testing-Information/resources/HotLines/HotLineDocs/Jul2025QHL/2007220.pdf","H")</f>
        <v>H</v>
      </c>
      <c r="X149" s="7" t="s">
        <v>0</v>
      </c>
      <c r="Y149" s="7" t="s">
        <v>0</v>
      </c>
      <c r="Z149" s="7" t="s">
        <v>0</v>
      </c>
      <c r="AA149" s="8">
        <v>45859</v>
      </c>
    </row>
    <row r="150" spans="1:27" x14ac:dyDescent="0.25">
      <c r="A150" s="6" t="s">
        <v>456</v>
      </c>
      <c r="B150" s="6" t="s">
        <v>457</v>
      </c>
      <c r="C150" s="6" t="s">
        <v>458</v>
      </c>
      <c r="D150" s="7" t="s">
        <v>0</v>
      </c>
      <c r="E150" s="7" t="s">
        <v>0</v>
      </c>
      <c r="F150" s="7" t="s">
        <v>35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7" t="s">
        <v>0</v>
      </c>
      <c r="P150" s="7" t="s">
        <v>0</v>
      </c>
      <c r="Q150" s="7" t="s">
        <v>0</v>
      </c>
      <c r="R150" s="7" t="s">
        <v>0</v>
      </c>
      <c r="S150" s="7" t="s">
        <v>0</v>
      </c>
      <c r="T150" s="7" t="s">
        <v>0</v>
      </c>
      <c r="U150" s="7" t="s">
        <v>0</v>
      </c>
      <c r="V150" s="7" t="s">
        <v>0</v>
      </c>
      <c r="W150" s="16" t="str">
        <f>HYPERLINK("http://www.aruplab.com/Testing-Information/resources/HotLines/HotLineDocs/Jul2025QHL/2007463.pdf","H")</f>
        <v>H</v>
      </c>
      <c r="X150" s="7" t="s">
        <v>0</v>
      </c>
      <c r="Y150" s="7" t="s">
        <v>0</v>
      </c>
      <c r="Z150" s="7" t="s">
        <v>0</v>
      </c>
      <c r="AA150" s="8">
        <v>45859</v>
      </c>
    </row>
    <row r="151" spans="1:27" x14ac:dyDescent="0.25">
      <c r="A151" s="6" t="s">
        <v>459</v>
      </c>
      <c r="B151" s="6" t="s">
        <v>460</v>
      </c>
      <c r="C151" s="6" t="s">
        <v>461</v>
      </c>
      <c r="D151" s="7" t="s">
        <v>0</v>
      </c>
      <c r="E151" s="7" t="s">
        <v>0</v>
      </c>
      <c r="F151" s="7" t="s">
        <v>0</v>
      </c>
      <c r="G151" s="7" t="s">
        <v>0</v>
      </c>
      <c r="H151" s="7" t="s">
        <v>35</v>
      </c>
      <c r="I151" s="7" t="s">
        <v>0</v>
      </c>
      <c r="J151" s="7" t="s">
        <v>0</v>
      </c>
      <c r="K151" s="7" t="s">
        <v>0</v>
      </c>
      <c r="L151" s="7" t="s">
        <v>0</v>
      </c>
      <c r="M151" s="7" t="s">
        <v>0</v>
      </c>
      <c r="N151" s="7" t="s">
        <v>0</v>
      </c>
      <c r="O151" s="7" t="s">
        <v>0</v>
      </c>
      <c r="P151" s="7" t="s">
        <v>0</v>
      </c>
      <c r="Q151" s="7" t="s">
        <v>0</v>
      </c>
      <c r="R151" s="7" t="s">
        <v>0</v>
      </c>
      <c r="S151" s="7" t="s">
        <v>0</v>
      </c>
      <c r="T151" s="7" t="s">
        <v>0</v>
      </c>
      <c r="U151" s="7" t="s">
        <v>0</v>
      </c>
      <c r="V151" s="7" t="s">
        <v>0</v>
      </c>
      <c r="W151" s="16" t="str">
        <f>HYPERLINK("http://www.aruplab.com/Testing-Information/resources/HotLines/HotLineDocs/Jul2025QHL/2007601.pdf","H")</f>
        <v>H</v>
      </c>
      <c r="X151" s="7" t="s">
        <v>0</v>
      </c>
      <c r="Y151" s="7" t="s">
        <v>0</v>
      </c>
      <c r="Z151" s="7" t="s">
        <v>0</v>
      </c>
      <c r="AA151" s="8">
        <v>45859</v>
      </c>
    </row>
    <row r="152" spans="1:27" ht="45" x14ac:dyDescent="0.25">
      <c r="A152" s="6" t="s">
        <v>462</v>
      </c>
      <c r="B152" s="6" t="s">
        <v>463</v>
      </c>
      <c r="C152" s="6" t="s">
        <v>464</v>
      </c>
      <c r="D152" s="7" t="s">
        <v>0</v>
      </c>
      <c r="E152" s="7" t="s">
        <v>0</v>
      </c>
      <c r="F152" s="7" t="s">
        <v>0</v>
      </c>
      <c r="G152" s="7" t="s">
        <v>0</v>
      </c>
      <c r="H152" s="7" t="s">
        <v>35</v>
      </c>
      <c r="I152" s="7" t="s">
        <v>0</v>
      </c>
      <c r="J152" s="7" t="s">
        <v>0</v>
      </c>
      <c r="K152" s="7" t="s">
        <v>0</v>
      </c>
      <c r="L152" s="7" t="s">
        <v>0</v>
      </c>
      <c r="M152" s="7" t="s">
        <v>0</v>
      </c>
      <c r="N152" s="7" t="s">
        <v>0</v>
      </c>
      <c r="O152" s="7" t="s">
        <v>0</v>
      </c>
      <c r="P152" s="7" t="s">
        <v>0</v>
      </c>
      <c r="Q152" s="7" t="s">
        <v>0</v>
      </c>
      <c r="R152" s="7" t="s">
        <v>0</v>
      </c>
      <c r="S152" s="7" t="s">
        <v>0</v>
      </c>
      <c r="T152" s="7" t="s">
        <v>0</v>
      </c>
      <c r="U152" s="7" t="s">
        <v>0</v>
      </c>
      <c r="V152" s="7" t="s">
        <v>0</v>
      </c>
      <c r="W152" s="16" t="str">
        <f>HYPERLINK("http://www.aruplab.com/Testing-Information/resources/HotLines/HotLineDocs/Jul2025QHL/2009447.pdf","H")</f>
        <v>H</v>
      </c>
      <c r="X152" s="7" t="s">
        <v>0</v>
      </c>
      <c r="Y152" s="7" t="s">
        <v>0</v>
      </c>
      <c r="Z152" s="7" t="s">
        <v>0</v>
      </c>
      <c r="AA152" s="8">
        <v>45859</v>
      </c>
    </row>
    <row r="153" spans="1:27" ht="60" x14ac:dyDescent="0.25">
      <c r="A153" s="6" t="s">
        <v>465</v>
      </c>
      <c r="B153" s="6" t="s">
        <v>466</v>
      </c>
      <c r="C153" s="6" t="s">
        <v>467</v>
      </c>
      <c r="D153" s="7" t="s">
        <v>0</v>
      </c>
      <c r="E153" s="7" t="s">
        <v>0</v>
      </c>
      <c r="F153" s="7" t="s">
        <v>0</v>
      </c>
      <c r="G153" s="7" t="s">
        <v>0</v>
      </c>
      <c r="H153" s="7" t="s">
        <v>35</v>
      </c>
      <c r="I153" s="7" t="s">
        <v>0</v>
      </c>
      <c r="J153" s="7" t="s">
        <v>0</v>
      </c>
      <c r="K153" s="7" t="s">
        <v>0</v>
      </c>
      <c r="L153" s="7" t="s">
        <v>0</v>
      </c>
      <c r="M153" s="7" t="s">
        <v>0</v>
      </c>
      <c r="N153" s="7" t="s">
        <v>0</v>
      </c>
      <c r="O153" s="7" t="s">
        <v>0</v>
      </c>
      <c r="P153" s="7" t="s">
        <v>0</v>
      </c>
      <c r="Q153" s="7" t="s">
        <v>0</v>
      </c>
      <c r="R153" s="7" t="s">
        <v>0</v>
      </c>
      <c r="S153" s="7" t="s">
        <v>0</v>
      </c>
      <c r="T153" s="7" t="s">
        <v>0</v>
      </c>
      <c r="U153" s="7" t="s">
        <v>0</v>
      </c>
      <c r="V153" s="7" t="s">
        <v>0</v>
      </c>
      <c r="W153" s="16" t="str">
        <f>HYPERLINK("http://www.aruplab.com/Testing-Information/resources/HotLines/HotLineDocs/Jul2025QHL/2009451.pdf","H")</f>
        <v>H</v>
      </c>
      <c r="X153" s="7" t="s">
        <v>0</v>
      </c>
      <c r="Y153" s="7" t="s">
        <v>0</v>
      </c>
      <c r="Z153" s="7" t="s">
        <v>0</v>
      </c>
      <c r="AA153" s="8">
        <v>45859</v>
      </c>
    </row>
    <row r="154" spans="1:27" ht="45" x14ac:dyDescent="0.25">
      <c r="A154" s="6" t="s">
        <v>468</v>
      </c>
      <c r="B154" s="6" t="s">
        <v>469</v>
      </c>
      <c r="C154" s="6" t="s">
        <v>470</v>
      </c>
      <c r="D154" s="7" t="s">
        <v>0</v>
      </c>
      <c r="E154" s="7" t="s">
        <v>0</v>
      </c>
      <c r="F154" s="7" t="s">
        <v>35</v>
      </c>
      <c r="G154" s="7" t="s">
        <v>0</v>
      </c>
      <c r="H154" s="7" t="s">
        <v>0</v>
      </c>
      <c r="I154" s="7" t="s">
        <v>0</v>
      </c>
      <c r="J154" s="7" t="s">
        <v>0</v>
      </c>
      <c r="K154" s="7" t="s">
        <v>0</v>
      </c>
      <c r="L154" s="7" t="s">
        <v>0</v>
      </c>
      <c r="M154" s="7" t="s">
        <v>0</v>
      </c>
      <c r="N154" s="7" t="s">
        <v>0</v>
      </c>
      <c r="O154" s="7" t="s">
        <v>0</v>
      </c>
      <c r="P154" s="7" t="s">
        <v>0</v>
      </c>
      <c r="Q154" s="7" t="s">
        <v>0</v>
      </c>
      <c r="R154" s="7" t="s">
        <v>0</v>
      </c>
      <c r="S154" s="7" t="s">
        <v>0</v>
      </c>
      <c r="T154" s="7" t="s">
        <v>0</v>
      </c>
      <c r="U154" s="7" t="s">
        <v>0</v>
      </c>
      <c r="V154" s="7" t="s">
        <v>0</v>
      </c>
      <c r="W154" s="16" t="str">
        <f>HYPERLINK("http://www.aruplab.com/Testing-Information/resources/HotLines/HotLineDocs/Jul2025QHL/2011418.pdf","H")</f>
        <v>H</v>
      </c>
      <c r="X154" s="7" t="s">
        <v>0</v>
      </c>
      <c r="Y154" s="7" t="s">
        <v>0</v>
      </c>
      <c r="Z154" s="7" t="s">
        <v>0</v>
      </c>
      <c r="AA154" s="8">
        <v>45859</v>
      </c>
    </row>
    <row r="155" spans="1:27" ht="30" x14ac:dyDescent="0.25">
      <c r="A155" s="6" t="s">
        <v>471</v>
      </c>
      <c r="B155" s="6" t="s">
        <v>472</v>
      </c>
      <c r="C155" s="6" t="s">
        <v>473</v>
      </c>
      <c r="D155" s="7" t="s">
        <v>0</v>
      </c>
      <c r="E155" s="7" t="s">
        <v>0</v>
      </c>
      <c r="F155" s="7" t="s">
        <v>35</v>
      </c>
      <c r="G155" s="7" t="s">
        <v>0</v>
      </c>
      <c r="H155" s="7" t="s">
        <v>0</v>
      </c>
      <c r="I155" s="7" t="s">
        <v>0</v>
      </c>
      <c r="J155" s="7" t="s">
        <v>0</v>
      </c>
      <c r="K155" s="7" t="s">
        <v>0</v>
      </c>
      <c r="L155" s="7" t="s">
        <v>0</v>
      </c>
      <c r="M155" s="7" t="s">
        <v>0</v>
      </c>
      <c r="N155" s="7" t="s">
        <v>0</v>
      </c>
      <c r="O155" s="7" t="s">
        <v>0</v>
      </c>
      <c r="P155" s="7" t="s">
        <v>0</v>
      </c>
      <c r="Q155" s="7" t="s">
        <v>0</v>
      </c>
      <c r="R155" s="7" t="s">
        <v>0</v>
      </c>
      <c r="S155" s="7" t="s">
        <v>0</v>
      </c>
      <c r="T155" s="7" t="s">
        <v>0</v>
      </c>
      <c r="U155" s="7" t="s">
        <v>0</v>
      </c>
      <c r="V155" s="7" t="s">
        <v>0</v>
      </c>
      <c r="W155" s="16" t="str">
        <f>HYPERLINK("http://www.aruplab.com/Testing-Information/resources/HotLines/HotLineDocs/Jul2025QHL/2011723.pdf","H")</f>
        <v>H</v>
      </c>
      <c r="X155" s="7" t="s">
        <v>0</v>
      </c>
      <c r="Y155" s="7" t="s">
        <v>0</v>
      </c>
      <c r="Z155" s="7" t="s">
        <v>0</v>
      </c>
      <c r="AA155" s="8">
        <v>45859</v>
      </c>
    </row>
    <row r="156" spans="1:27" ht="30" x14ac:dyDescent="0.25">
      <c r="A156" s="6" t="s">
        <v>474</v>
      </c>
      <c r="B156" s="6" t="s">
        <v>475</v>
      </c>
      <c r="C156" s="6" t="s">
        <v>476</v>
      </c>
      <c r="D156" s="7" t="s">
        <v>0</v>
      </c>
      <c r="E156" s="7" t="s">
        <v>0</v>
      </c>
      <c r="F156" s="7" t="s">
        <v>35</v>
      </c>
      <c r="G156" s="7" t="s">
        <v>0</v>
      </c>
      <c r="H156" s="7" t="s">
        <v>0</v>
      </c>
      <c r="I156" s="7" t="s">
        <v>0</v>
      </c>
      <c r="J156" s="7" t="s">
        <v>0</v>
      </c>
      <c r="K156" s="7" t="s">
        <v>0</v>
      </c>
      <c r="L156" s="7" t="s">
        <v>0</v>
      </c>
      <c r="M156" s="7" t="s">
        <v>0</v>
      </c>
      <c r="N156" s="7" t="s">
        <v>0</v>
      </c>
      <c r="O156" s="7" t="s">
        <v>0</v>
      </c>
      <c r="P156" s="7" t="s">
        <v>0</v>
      </c>
      <c r="Q156" s="7" t="s">
        <v>0</v>
      </c>
      <c r="R156" s="7" t="s">
        <v>0</v>
      </c>
      <c r="S156" s="7" t="s">
        <v>0</v>
      </c>
      <c r="T156" s="7" t="s">
        <v>0</v>
      </c>
      <c r="U156" s="7" t="s">
        <v>0</v>
      </c>
      <c r="V156" s="7" t="s">
        <v>0</v>
      </c>
      <c r="W156" s="16" t="str">
        <f>HYPERLINK("http://www.aruplab.com/Testing-Information/resources/HotLines/HotLineDocs/Jul2025QHL/2011725.pdf","H")</f>
        <v>H</v>
      </c>
      <c r="X156" s="7" t="s">
        <v>0</v>
      </c>
      <c r="Y156" s="7" t="s">
        <v>0</v>
      </c>
      <c r="Z156" s="7" t="s">
        <v>0</v>
      </c>
      <c r="AA156" s="8">
        <v>45859</v>
      </c>
    </row>
    <row r="157" spans="1:27" ht="30" x14ac:dyDescent="0.25">
      <c r="A157" s="6" t="s">
        <v>477</v>
      </c>
      <c r="B157" s="6" t="s">
        <v>478</v>
      </c>
      <c r="C157" s="6" t="s">
        <v>479</v>
      </c>
      <c r="D157" s="7" t="s">
        <v>0</v>
      </c>
      <c r="E157" s="7" t="s">
        <v>0</v>
      </c>
      <c r="F157" s="7" t="s">
        <v>35</v>
      </c>
      <c r="G157" s="7" t="s">
        <v>0</v>
      </c>
      <c r="H157" s="7" t="s">
        <v>0</v>
      </c>
      <c r="I157" s="7" t="s">
        <v>0</v>
      </c>
      <c r="J157" s="7" t="s">
        <v>0</v>
      </c>
      <c r="K157" s="7" t="s">
        <v>0</v>
      </c>
      <c r="L157" s="7" t="s">
        <v>0</v>
      </c>
      <c r="M157" s="7" t="s">
        <v>0</v>
      </c>
      <c r="N157" s="7" t="s">
        <v>0</v>
      </c>
      <c r="O157" s="7" t="s">
        <v>0</v>
      </c>
      <c r="P157" s="7" t="s">
        <v>0</v>
      </c>
      <c r="Q157" s="7" t="s">
        <v>0</v>
      </c>
      <c r="R157" s="7" t="s">
        <v>0</v>
      </c>
      <c r="S157" s="7" t="s">
        <v>0</v>
      </c>
      <c r="T157" s="7" t="s">
        <v>0</v>
      </c>
      <c r="U157" s="7" t="s">
        <v>0</v>
      </c>
      <c r="V157" s="7" t="s">
        <v>0</v>
      </c>
      <c r="W157" s="16" t="str">
        <f>HYPERLINK("http://www.aruplab.com/Testing-Information/resources/HotLines/HotLineDocs/Jul2025QHL/2011727.pdf","H")</f>
        <v>H</v>
      </c>
      <c r="X157" s="7" t="s">
        <v>0</v>
      </c>
      <c r="Y157" s="7" t="s">
        <v>0</v>
      </c>
      <c r="Z157" s="7" t="s">
        <v>0</v>
      </c>
      <c r="AA157" s="8">
        <v>45859</v>
      </c>
    </row>
    <row r="158" spans="1:27" ht="30" x14ac:dyDescent="0.25">
      <c r="A158" s="6" t="s">
        <v>480</v>
      </c>
      <c r="B158" s="6" t="s">
        <v>481</v>
      </c>
      <c r="C158" s="6" t="s">
        <v>482</v>
      </c>
      <c r="D158" s="7" t="s">
        <v>0</v>
      </c>
      <c r="E158" s="7" t="s">
        <v>0</v>
      </c>
      <c r="F158" s="7" t="s">
        <v>35</v>
      </c>
      <c r="G158" s="7" t="s">
        <v>0</v>
      </c>
      <c r="H158" s="7" t="s">
        <v>0</v>
      </c>
      <c r="I158" s="7" t="s">
        <v>0</v>
      </c>
      <c r="J158" s="7" t="s">
        <v>0</v>
      </c>
      <c r="K158" s="7" t="s">
        <v>0</v>
      </c>
      <c r="L158" s="7" t="s">
        <v>0</v>
      </c>
      <c r="M158" s="7" t="s">
        <v>0</v>
      </c>
      <c r="N158" s="7" t="s">
        <v>0</v>
      </c>
      <c r="O158" s="7" t="s">
        <v>0</v>
      </c>
      <c r="P158" s="7" t="s">
        <v>0</v>
      </c>
      <c r="Q158" s="7" t="s">
        <v>0</v>
      </c>
      <c r="R158" s="7" t="s">
        <v>0</v>
      </c>
      <c r="S158" s="7" t="s">
        <v>0</v>
      </c>
      <c r="T158" s="7" t="s">
        <v>0</v>
      </c>
      <c r="U158" s="7" t="s">
        <v>0</v>
      </c>
      <c r="V158" s="7" t="s">
        <v>0</v>
      </c>
      <c r="W158" s="16" t="str">
        <f>HYPERLINK("http://www.aruplab.com/Testing-Information/resources/HotLines/HotLineDocs/Jul2025QHL/2011729.pdf","H")</f>
        <v>H</v>
      </c>
      <c r="X158" s="7" t="s">
        <v>0</v>
      </c>
      <c r="Y158" s="7" t="s">
        <v>0</v>
      </c>
      <c r="Z158" s="7" t="s">
        <v>0</v>
      </c>
      <c r="AA158" s="8">
        <v>45859</v>
      </c>
    </row>
    <row r="159" spans="1:27" ht="30" x14ac:dyDescent="0.25">
      <c r="A159" s="6" t="s">
        <v>483</v>
      </c>
      <c r="B159" s="6" t="s">
        <v>484</v>
      </c>
      <c r="C159" s="6" t="s">
        <v>485</v>
      </c>
      <c r="D159" s="7" t="s">
        <v>0</v>
      </c>
      <c r="E159" s="7" t="s">
        <v>0</v>
      </c>
      <c r="F159" s="7" t="s">
        <v>35</v>
      </c>
      <c r="G159" s="7" t="s">
        <v>0</v>
      </c>
      <c r="H159" s="7" t="s">
        <v>0</v>
      </c>
      <c r="I159" s="7" t="s">
        <v>0</v>
      </c>
      <c r="J159" s="7" t="s">
        <v>0</v>
      </c>
      <c r="K159" s="7" t="s">
        <v>0</v>
      </c>
      <c r="L159" s="7" t="s">
        <v>0</v>
      </c>
      <c r="M159" s="7" t="s">
        <v>0</v>
      </c>
      <c r="N159" s="7" t="s">
        <v>0</v>
      </c>
      <c r="O159" s="7" t="s">
        <v>0</v>
      </c>
      <c r="P159" s="7" t="s">
        <v>0</v>
      </c>
      <c r="Q159" s="7" t="s">
        <v>0</v>
      </c>
      <c r="R159" s="7" t="s">
        <v>0</v>
      </c>
      <c r="S159" s="7" t="s">
        <v>0</v>
      </c>
      <c r="T159" s="7" t="s">
        <v>0</v>
      </c>
      <c r="U159" s="7" t="s">
        <v>0</v>
      </c>
      <c r="V159" s="7" t="s">
        <v>0</v>
      </c>
      <c r="W159" s="16" t="str">
        <f>HYPERLINK("http://www.aruplab.com/Testing-Information/resources/HotLines/HotLineDocs/Jul2025QHL/2011731.pdf","H")</f>
        <v>H</v>
      </c>
      <c r="X159" s="7" t="s">
        <v>0</v>
      </c>
      <c r="Y159" s="7" t="s">
        <v>0</v>
      </c>
      <c r="Z159" s="7" t="s">
        <v>0</v>
      </c>
      <c r="AA159" s="8">
        <v>45859</v>
      </c>
    </row>
    <row r="160" spans="1:27" ht="30" x14ac:dyDescent="0.25">
      <c r="A160" s="6" t="s">
        <v>486</v>
      </c>
      <c r="B160" s="6" t="s">
        <v>487</v>
      </c>
      <c r="C160" s="6" t="s">
        <v>488</v>
      </c>
      <c r="D160" s="7" t="s">
        <v>0</v>
      </c>
      <c r="E160" s="7" t="s">
        <v>0</v>
      </c>
      <c r="F160" s="7" t="s">
        <v>35</v>
      </c>
      <c r="G160" s="7" t="s">
        <v>0</v>
      </c>
      <c r="H160" s="7" t="s">
        <v>0</v>
      </c>
      <c r="I160" s="7" t="s">
        <v>0</v>
      </c>
      <c r="J160" s="7" t="s">
        <v>0</v>
      </c>
      <c r="K160" s="7" t="s">
        <v>0</v>
      </c>
      <c r="L160" s="7" t="s">
        <v>0</v>
      </c>
      <c r="M160" s="7" t="s">
        <v>0</v>
      </c>
      <c r="N160" s="7" t="s">
        <v>0</v>
      </c>
      <c r="O160" s="7" t="s">
        <v>0</v>
      </c>
      <c r="P160" s="7" t="s">
        <v>0</v>
      </c>
      <c r="Q160" s="7" t="s">
        <v>0</v>
      </c>
      <c r="R160" s="7" t="s">
        <v>0</v>
      </c>
      <c r="S160" s="7" t="s">
        <v>0</v>
      </c>
      <c r="T160" s="7" t="s">
        <v>0</v>
      </c>
      <c r="U160" s="7" t="s">
        <v>0</v>
      </c>
      <c r="V160" s="7" t="s">
        <v>0</v>
      </c>
      <c r="W160" s="16" t="str">
        <f>HYPERLINK("http://www.aruplab.com/Testing-Information/resources/HotLines/HotLineDocs/Jul2025QHL/2011733.pdf","H")</f>
        <v>H</v>
      </c>
      <c r="X160" s="7" t="s">
        <v>0</v>
      </c>
      <c r="Y160" s="7" t="s">
        <v>0</v>
      </c>
      <c r="Z160" s="7" t="s">
        <v>0</v>
      </c>
      <c r="AA160" s="8">
        <v>45859</v>
      </c>
    </row>
    <row r="161" spans="1:27" ht="30" x14ac:dyDescent="0.25">
      <c r="A161" s="6" t="s">
        <v>489</v>
      </c>
      <c r="B161" s="6" t="s">
        <v>490</v>
      </c>
      <c r="C161" s="6" t="s">
        <v>491</v>
      </c>
      <c r="D161" s="7" t="s">
        <v>0</v>
      </c>
      <c r="E161" s="7" t="s">
        <v>0</v>
      </c>
      <c r="F161" s="7" t="s">
        <v>35</v>
      </c>
      <c r="G161" s="7" t="s">
        <v>0</v>
      </c>
      <c r="H161" s="7" t="s">
        <v>0</v>
      </c>
      <c r="I161" s="7" t="s">
        <v>0</v>
      </c>
      <c r="J161" s="7" t="s">
        <v>0</v>
      </c>
      <c r="K161" s="7" t="s">
        <v>0</v>
      </c>
      <c r="L161" s="7" t="s">
        <v>0</v>
      </c>
      <c r="M161" s="7" t="s">
        <v>0</v>
      </c>
      <c r="N161" s="7" t="s">
        <v>0</v>
      </c>
      <c r="O161" s="7" t="s">
        <v>0</v>
      </c>
      <c r="P161" s="7" t="s">
        <v>0</v>
      </c>
      <c r="Q161" s="7" t="s">
        <v>0</v>
      </c>
      <c r="R161" s="7" t="s">
        <v>0</v>
      </c>
      <c r="S161" s="7" t="s">
        <v>0</v>
      </c>
      <c r="T161" s="7" t="s">
        <v>0</v>
      </c>
      <c r="U161" s="7" t="s">
        <v>0</v>
      </c>
      <c r="V161" s="7" t="s">
        <v>0</v>
      </c>
      <c r="W161" s="16" t="str">
        <f>HYPERLINK("http://www.aruplab.com/Testing-Information/resources/HotLines/HotLineDocs/Jul2025QHL/2011735.pdf","H")</f>
        <v>H</v>
      </c>
      <c r="X161" s="7" t="s">
        <v>0</v>
      </c>
      <c r="Y161" s="7" t="s">
        <v>0</v>
      </c>
      <c r="Z161" s="7" t="s">
        <v>0</v>
      </c>
      <c r="AA161" s="8">
        <v>45859</v>
      </c>
    </row>
    <row r="162" spans="1:27" ht="30" x14ac:dyDescent="0.25">
      <c r="A162" s="6" t="s">
        <v>492</v>
      </c>
      <c r="B162" s="6" t="s">
        <v>493</v>
      </c>
      <c r="C162" s="6" t="s">
        <v>494</v>
      </c>
      <c r="D162" s="7" t="s">
        <v>0</v>
      </c>
      <c r="E162" s="7" t="s">
        <v>0</v>
      </c>
      <c r="F162" s="7" t="s">
        <v>35</v>
      </c>
      <c r="G162" s="7" t="s">
        <v>0</v>
      </c>
      <c r="H162" s="7" t="s">
        <v>0</v>
      </c>
      <c r="I162" s="7" t="s">
        <v>0</v>
      </c>
      <c r="J162" s="7" t="s">
        <v>0</v>
      </c>
      <c r="K162" s="7" t="s">
        <v>0</v>
      </c>
      <c r="L162" s="7" t="s">
        <v>0</v>
      </c>
      <c r="M162" s="7" t="s">
        <v>0</v>
      </c>
      <c r="N162" s="7" t="s">
        <v>0</v>
      </c>
      <c r="O162" s="7" t="s">
        <v>0</v>
      </c>
      <c r="P162" s="7" t="s">
        <v>0</v>
      </c>
      <c r="Q162" s="7" t="s">
        <v>0</v>
      </c>
      <c r="R162" s="7" t="s">
        <v>0</v>
      </c>
      <c r="S162" s="7" t="s">
        <v>0</v>
      </c>
      <c r="T162" s="7" t="s">
        <v>0</v>
      </c>
      <c r="U162" s="7" t="s">
        <v>0</v>
      </c>
      <c r="V162" s="7" t="s">
        <v>0</v>
      </c>
      <c r="W162" s="16" t="str">
        <f>HYPERLINK("http://www.aruplab.com/Testing-Information/resources/HotLines/HotLineDocs/Jul2025QHL/2011737.pdf","H")</f>
        <v>H</v>
      </c>
      <c r="X162" s="7" t="s">
        <v>0</v>
      </c>
      <c r="Y162" s="7" t="s">
        <v>0</v>
      </c>
      <c r="Z162" s="7" t="s">
        <v>0</v>
      </c>
      <c r="AA162" s="8">
        <v>45859</v>
      </c>
    </row>
    <row r="163" spans="1:27" ht="30" x14ac:dyDescent="0.25">
      <c r="A163" s="6" t="s">
        <v>495</v>
      </c>
      <c r="B163" s="6" t="s">
        <v>496</v>
      </c>
      <c r="C163" s="6" t="s">
        <v>497</v>
      </c>
      <c r="D163" s="7" t="s">
        <v>0</v>
      </c>
      <c r="E163" s="7" t="s">
        <v>0</v>
      </c>
      <c r="F163" s="7" t="s">
        <v>35</v>
      </c>
      <c r="G163" s="7" t="s">
        <v>0</v>
      </c>
      <c r="H163" s="7" t="s">
        <v>0</v>
      </c>
      <c r="I163" s="7" t="s">
        <v>0</v>
      </c>
      <c r="J163" s="7" t="s">
        <v>0</v>
      </c>
      <c r="K163" s="7" t="s">
        <v>0</v>
      </c>
      <c r="L163" s="7" t="s">
        <v>0</v>
      </c>
      <c r="M163" s="7" t="s">
        <v>0</v>
      </c>
      <c r="N163" s="7" t="s">
        <v>0</v>
      </c>
      <c r="O163" s="7" t="s">
        <v>0</v>
      </c>
      <c r="P163" s="7" t="s">
        <v>0</v>
      </c>
      <c r="Q163" s="7" t="s">
        <v>0</v>
      </c>
      <c r="R163" s="7" t="s">
        <v>0</v>
      </c>
      <c r="S163" s="7" t="s">
        <v>0</v>
      </c>
      <c r="T163" s="7" t="s">
        <v>0</v>
      </c>
      <c r="U163" s="7" t="s">
        <v>0</v>
      </c>
      <c r="V163" s="7" t="s">
        <v>0</v>
      </c>
      <c r="W163" s="16" t="str">
        <f>HYPERLINK("http://www.aruplab.com/Testing-Information/resources/HotLines/HotLineDocs/Jul2025QHL/2011739.pdf","H")</f>
        <v>H</v>
      </c>
      <c r="X163" s="7" t="s">
        <v>0</v>
      </c>
      <c r="Y163" s="7" t="s">
        <v>0</v>
      </c>
      <c r="Z163" s="7" t="s">
        <v>0</v>
      </c>
      <c r="AA163" s="8">
        <v>45859</v>
      </c>
    </row>
    <row r="164" spans="1:27" ht="30" x14ac:dyDescent="0.25">
      <c r="A164" s="6" t="s">
        <v>498</v>
      </c>
      <c r="B164" s="6" t="s">
        <v>499</v>
      </c>
      <c r="C164" s="6" t="s">
        <v>500</v>
      </c>
      <c r="D164" s="7" t="s">
        <v>0</v>
      </c>
      <c r="E164" s="7" t="s">
        <v>0</v>
      </c>
      <c r="F164" s="7" t="s">
        <v>35</v>
      </c>
      <c r="G164" s="7" t="s">
        <v>0</v>
      </c>
      <c r="H164" s="7" t="s">
        <v>0</v>
      </c>
      <c r="I164" s="7" t="s">
        <v>0</v>
      </c>
      <c r="J164" s="7" t="s">
        <v>0</v>
      </c>
      <c r="K164" s="7" t="s">
        <v>0</v>
      </c>
      <c r="L164" s="7" t="s">
        <v>0</v>
      </c>
      <c r="M164" s="7" t="s">
        <v>0</v>
      </c>
      <c r="N164" s="7" t="s">
        <v>0</v>
      </c>
      <c r="O164" s="7" t="s">
        <v>0</v>
      </c>
      <c r="P164" s="7" t="s">
        <v>0</v>
      </c>
      <c r="Q164" s="7" t="s">
        <v>0</v>
      </c>
      <c r="R164" s="7" t="s">
        <v>0</v>
      </c>
      <c r="S164" s="7" t="s">
        <v>0</v>
      </c>
      <c r="T164" s="7" t="s">
        <v>0</v>
      </c>
      <c r="U164" s="7" t="s">
        <v>0</v>
      </c>
      <c r="V164" s="7" t="s">
        <v>0</v>
      </c>
      <c r="W164" s="16" t="str">
        <f>HYPERLINK("http://www.aruplab.com/Testing-Information/resources/HotLines/HotLineDocs/Jul2025QHL/2011741.pdf","H")</f>
        <v>H</v>
      </c>
      <c r="X164" s="7" t="s">
        <v>0</v>
      </c>
      <c r="Y164" s="7" t="s">
        <v>0</v>
      </c>
      <c r="Z164" s="7" t="s">
        <v>0</v>
      </c>
      <c r="AA164" s="8">
        <v>45859</v>
      </c>
    </row>
    <row r="165" spans="1:27" ht="30" x14ac:dyDescent="0.25">
      <c r="A165" s="6" t="s">
        <v>501</v>
      </c>
      <c r="B165" s="6" t="s">
        <v>502</v>
      </c>
      <c r="C165" s="6" t="s">
        <v>503</v>
      </c>
      <c r="D165" s="7" t="s">
        <v>0</v>
      </c>
      <c r="E165" s="7" t="s">
        <v>0</v>
      </c>
      <c r="F165" s="7" t="s">
        <v>35</v>
      </c>
      <c r="G165" s="7" t="s">
        <v>0</v>
      </c>
      <c r="H165" s="7" t="s">
        <v>0</v>
      </c>
      <c r="I165" s="7" t="s">
        <v>0</v>
      </c>
      <c r="J165" s="7" t="s">
        <v>0</v>
      </c>
      <c r="K165" s="7" t="s">
        <v>0</v>
      </c>
      <c r="L165" s="7" t="s">
        <v>0</v>
      </c>
      <c r="M165" s="7" t="s">
        <v>0</v>
      </c>
      <c r="N165" s="7" t="s">
        <v>0</v>
      </c>
      <c r="O165" s="7" t="s">
        <v>0</v>
      </c>
      <c r="P165" s="7" t="s">
        <v>0</v>
      </c>
      <c r="Q165" s="7" t="s">
        <v>0</v>
      </c>
      <c r="R165" s="7" t="s">
        <v>0</v>
      </c>
      <c r="S165" s="7" t="s">
        <v>0</v>
      </c>
      <c r="T165" s="7" t="s">
        <v>0</v>
      </c>
      <c r="U165" s="7" t="s">
        <v>0</v>
      </c>
      <c r="V165" s="7" t="s">
        <v>0</v>
      </c>
      <c r="W165" s="16" t="str">
        <f>HYPERLINK("http://www.aruplab.com/Testing-Information/resources/HotLines/HotLineDocs/Jul2025QHL/2011743.pdf","H")</f>
        <v>H</v>
      </c>
      <c r="X165" s="7" t="s">
        <v>0</v>
      </c>
      <c r="Y165" s="7" t="s">
        <v>0</v>
      </c>
      <c r="Z165" s="7" t="s">
        <v>0</v>
      </c>
      <c r="AA165" s="8">
        <v>45859</v>
      </c>
    </row>
    <row r="166" spans="1:27" ht="30" x14ac:dyDescent="0.25">
      <c r="A166" s="6" t="s">
        <v>504</v>
      </c>
      <c r="B166" s="6" t="s">
        <v>505</v>
      </c>
      <c r="C166" s="6" t="s">
        <v>506</v>
      </c>
      <c r="D166" s="7" t="s">
        <v>0</v>
      </c>
      <c r="E166" s="7" t="s">
        <v>0</v>
      </c>
      <c r="F166" s="7" t="s">
        <v>35</v>
      </c>
      <c r="G166" s="7" t="s">
        <v>0</v>
      </c>
      <c r="H166" s="7" t="s">
        <v>0</v>
      </c>
      <c r="I166" s="7" t="s">
        <v>0</v>
      </c>
      <c r="J166" s="7" t="s">
        <v>0</v>
      </c>
      <c r="K166" s="7" t="s">
        <v>0</v>
      </c>
      <c r="L166" s="7" t="s">
        <v>0</v>
      </c>
      <c r="M166" s="7" t="s">
        <v>0</v>
      </c>
      <c r="N166" s="7" t="s">
        <v>0</v>
      </c>
      <c r="O166" s="7" t="s">
        <v>0</v>
      </c>
      <c r="P166" s="7" t="s">
        <v>0</v>
      </c>
      <c r="Q166" s="7" t="s">
        <v>0</v>
      </c>
      <c r="R166" s="7" t="s">
        <v>0</v>
      </c>
      <c r="S166" s="7" t="s">
        <v>0</v>
      </c>
      <c r="T166" s="7" t="s">
        <v>0</v>
      </c>
      <c r="U166" s="7" t="s">
        <v>0</v>
      </c>
      <c r="V166" s="7" t="s">
        <v>0</v>
      </c>
      <c r="W166" s="16" t="str">
        <f>HYPERLINK("http://www.aruplab.com/Testing-Information/resources/HotLines/HotLineDocs/Jul2025QHL/2011745.pdf","H")</f>
        <v>H</v>
      </c>
      <c r="X166" s="7" t="s">
        <v>0</v>
      </c>
      <c r="Y166" s="7" t="s">
        <v>0</v>
      </c>
      <c r="Z166" s="7" t="s">
        <v>0</v>
      </c>
      <c r="AA166" s="8">
        <v>45859</v>
      </c>
    </row>
    <row r="167" spans="1:27" ht="30" x14ac:dyDescent="0.25">
      <c r="A167" s="6" t="s">
        <v>507</v>
      </c>
      <c r="B167" s="6" t="s">
        <v>508</v>
      </c>
      <c r="C167" s="6" t="s">
        <v>509</v>
      </c>
      <c r="D167" s="7" t="s">
        <v>0</v>
      </c>
      <c r="E167" s="7" t="s">
        <v>0</v>
      </c>
      <c r="F167" s="7" t="s">
        <v>35</v>
      </c>
      <c r="G167" s="7" t="s">
        <v>0</v>
      </c>
      <c r="H167" s="7" t="s">
        <v>0</v>
      </c>
      <c r="I167" s="7" t="s">
        <v>0</v>
      </c>
      <c r="J167" s="7" t="s">
        <v>0</v>
      </c>
      <c r="K167" s="7" t="s">
        <v>0</v>
      </c>
      <c r="L167" s="7" t="s">
        <v>0</v>
      </c>
      <c r="M167" s="7" t="s">
        <v>0</v>
      </c>
      <c r="N167" s="7" t="s">
        <v>0</v>
      </c>
      <c r="O167" s="7" t="s">
        <v>0</v>
      </c>
      <c r="P167" s="7" t="s">
        <v>0</v>
      </c>
      <c r="Q167" s="7" t="s">
        <v>0</v>
      </c>
      <c r="R167" s="7" t="s">
        <v>0</v>
      </c>
      <c r="S167" s="7" t="s">
        <v>0</v>
      </c>
      <c r="T167" s="7" t="s">
        <v>0</v>
      </c>
      <c r="U167" s="7" t="s">
        <v>0</v>
      </c>
      <c r="V167" s="7" t="s">
        <v>0</v>
      </c>
      <c r="W167" s="16" t="str">
        <f>HYPERLINK("http://www.aruplab.com/Testing-Information/resources/HotLines/HotLineDocs/Jul2025QHL/2011747.pdf","H")</f>
        <v>H</v>
      </c>
      <c r="X167" s="7" t="s">
        <v>0</v>
      </c>
      <c r="Y167" s="7" t="s">
        <v>0</v>
      </c>
      <c r="Z167" s="7" t="s">
        <v>0</v>
      </c>
      <c r="AA167" s="8">
        <v>45859</v>
      </c>
    </row>
    <row r="168" spans="1:27" ht="30" x14ac:dyDescent="0.25">
      <c r="A168" s="6" t="s">
        <v>510</v>
      </c>
      <c r="B168" s="6" t="s">
        <v>511</v>
      </c>
      <c r="C168" s="6" t="s">
        <v>512</v>
      </c>
      <c r="D168" s="7" t="s">
        <v>0</v>
      </c>
      <c r="E168" s="7" t="s">
        <v>0</v>
      </c>
      <c r="F168" s="7" t="s">
        <v>35</v>
      </c>
      <c r="G168" s="7" t="s">
        <v>0</v>
      </c>
      <c r="H168" s="7" t="s">
        <v>0</v>
      </c>
      <c r="I168" s="7" t="s">
        <v>0</v>
      </c>
      <c r="J168" s="7" t="s">
        <v>0</v>
      </c>
      <c r="K168" s="7" t="s">
        <v>0</v>
      </c>
      <c r="L168" s="7" t="s">
        <v>0</v>
      </c>
      <c r="M168" s="7" t="s">
        <v>0</v>
      </c>
      <c r="N168" s="7" t="s">
        <v>0</v>
      </c>
      <c r="O168" s="7" t="s">
        <v>0</v>
      </c>
      <c r="P168" s="7" t="s">
        <v>0</v>
      </c>
      <c r="Q168" s="7" t="s">
        <v>0</v>
      </c>
      <c r="R168" s="7" t="s">
        <v>0</v>
      </c>
      <c r="S168" s="7" t="s">
        <v>0</v>
      </c>
      <c r="T168" s="7" t="s">
        <v>0</v>
      </c>
      <c r="U168" s="7" t="s">
        <v>0</v>
      </c>
      <c r="V168" s="7" t="s">
        <v>0</v>
      </c>
      <c r="W168" s="16" t="str">
        <f>HYPERLINK("http://www.aruplab.com/Testing-Information/resources/HotLines/HotLineDocs/Jul2025QHL/2011749.pdf","H")</f>
        <v>H</v>
      </c>
      <c r="X168" s="7" t="s">
        <v>0</v>
      </c>
      <c r="Y168" s="7" t="s">
        <v>0</v>
      </c>
      <c r="Z168" s="7" t="s">
        <v>0</v>
      </c>
      <c r="AA168" s="8">
        <v>45859</v>
      </c>
    </row>
    <row r="169" spans="1:27" ht="30" x14ac:dyDescent="0.25">
      <c r="A169" s="6" t="s">
        <v>513</v>
      </c>
      <c r="B169" s="6" t="s">
        <v>514</v>
      </c>
      <c r="C169" s="6" t="s">
        <v>515</v>
      </c>
      <c r="D169" s="7" t="s">
        <v>0</v>
      </c>
      <c r="E169" s="7" t="s">
        <v>0</v>
      </c>
      <c r="F169" s="7" t="s">
        <v>35</v>
      </c>
      <c r="G169" s="7" t="s">
        <v>0</v>
      </c>
      <c r="H169" s="7" t="s">
        <v>0</v>
      </c>
      <c r="I169" s="7" t="s">
        <v>0</v>
      </c>
      <c r="J169" s="7" t="s">
        <v>0</v>
      </c>
      <c r="K169" s="7" t="s">
        <v>0</v>
      </c>
      <c r="L169" s="7" t="s">
        <v>0</v>
      </c>
      <c r="M169" s="7" t="s">
        <v>0</v>
      </c>
      <c r="N169" s="7" t="s">
        <v>0</v>
      </c>
      <c r="O169" s="7" t="s">
        <v>0</v>
      </c>
      <c r="P169" s="7" t="s">
        <v>0</v>
      </c>
      <c r="Q169" s="7" t="s">
        <v>0</v>
      </c>
      <c r="R169" s="7" t="s">
        <v>0</v>
      </c>
      <c r="S169" s="7" t="s">
        <v>0</v>
      </c>
      <c r="T169" s="7" t="s">
        <v>0</v>
      </c>
      <c r="U169" s="7" t="s">
        <v>0</v>
      </c>
      <c r="V169" s="7" t="s">
        <v>0</v>
      </c>
      <c r="W169" s="16" t="str">
        <f>HYPERLINK("http://www.aruplab.com/Testing-Information/resources/HotLines/HotLineDocs/Jul2025QHL/2011751.pdf","H")</f>
        <v>H</v>
      </c>
      <c r="X169" s="7" t="s">
        <v>0</v>
      </c>
      <c r="Y169" s="7" t="s">
        <v>0</v>
      </c>
      <c r="Z169" s="7" t="s">
        <v>0</v>
      </c>
      <c r="AA169" s="8">
        <v>45859</v>
      </c>
    </row>
    <row r="170" spans="1:27" ht="30" x14ac:dyDescent="0.25">
      <c r="A170" s="6" t="s">
        <v>516</v>
      </c>
      <c r="B170" s="6" t="s">
        <v>517</v>
      </c>
      <c r="C170" s="6" t="s">
        <v>518</v>
      </c>
      <c r="D170" s="7" t="s">
        <v>0</v>
      </c>
      <c r="E170" s="7" t="s">
        <v>0</v>
      </c>
      <c r="F170" s="7" t="s">
        <v>35</v>
      </c>
      <c r="G170" s="7" t="s">
        <v>0</v>
      </c>
      <c r="H170" s="7" t="s">
        <v>0</v>
      </c>
      <c r="I170" s="7" t="s">
        <v>0</v>
      </c>
      <c r="J170" s="7" t="s">
        <v>0</v>
      </c>
      <c r="K170" s="7" t="s">
        <v>0</v>
      </c>
      <c r="L170" s="7" t="s">
        <v>0</v>
      </c>
      <c r="M170" s="7" t="s">
        <v>0</v>
      </c>
      <c r="N170" s="7" t="s">
        <v>0</v>
      </c>
      <c r="O170" s="7" t="s">
        <v>0</v>
      </c>
      <c r="P170" s="7" t="s">
        <v>0</v>
      </c>
      <c r="Q170" s="7" t="s">
        <v>0</v>
      </c>
      <c r="R170" s="7" t="s">
        <v>0</v>
      </c>
      <c r="S170" s="7" t="s">
        <v>0</v>
      </c>
      <c r="T170" s="7" t="s">
        <v>0</v>
      </c>
      <c r="U170" s="7" t="s">
        <v>0</v>
      </c>
      <c r="V170" s="7" t="s">
        <v>0</v>
      </c>
      <c r="W170" s="16" t="str">
        <f>HYPERLINK("http://www.aruplab.com/Testing-Information/resources/HotLines/HotLineDocs/Jul2025QHL/2011753.pdf","H")</f>
        <v>H</v>
      </c>
      <c r="X170" s="7" t="s">
        <v>0</v>
      </c>
      <c r="Y170" s="7" t="s">
        <v>0</v>
      </c>
      <c r="Z170" s="7" t="s">
        <v>0</v>
      </c>
      <c r="AA170" s="8">
        <v>45859</v>
      </c>
    </row>
    <row r="171" spans="1:27" ht="30" x14ac:dyDescent="0.25">
      <c r="A171" s="6" t="s">
        <v>519</v>
      </c>
      <c r="B171" s="6" t="s">
        <v>520</v>
      </c>
      <c r="C171" s="6" t="s">
        <v>521</v>
      </c>
      <c r="D171" s="7" t="s">
        <v>0</v>
      </c>
      <c r="E171" s="7" t="s">
        <v>0</v>
      </c>
      <c r="F171" s="7" t="s">
        <v>35</v>
      </c>
      <c r="G171" s="7" t="s">
        <v>0</v>
      </c>
      <c r="H171" s="7" t="s">
        <v>0</v>
      </c>
      <c r="I171" s="7" t="s">
        <v>0</v>
      </c>
      <c r="J171" s="7" t="s">
        <v>0</v>
      </c>
      <c r="K171" s="7" t="s">
        <v>0</v>
      </c>
      <c r="L171" s="7" t="s">
        <v>0</v>
      </c>
      <c r="M171" s="7" t="s">
        <v>0</v>
      </c>
      <c r="N171" s="7" t="s">
        <v>0</v>
      </c>
      <c r="O171" s="7" t="s">
        <v>0</v>
      </c>
      <c r="P171" s="7" t="s">
        <v>0</v>
      </c>
      <c r="Q171" s="7" t="s">
        <v>0</v>
      </c>
      <c r="R171" s="7" t="s">
        <v>0</v>
      </c>
      <c r="S171" s="7" t="s">
        <v>0</v>
      </c>
      <c r="T171" s="7" t="s">
        <v>0</v>
      </c>
      <c r="U171" s="7" t="s">
        <v>0</v>
      </c>
      <c r="V171" s="7" t="s">
        <v>0</v>
      </c>
      <c r="W171" s="16" t="str">
        <f>HYPERLINK("http://www.aruplab.com/Testing-Information/resources/HotLines/HotLineDocs/Jul2025QHL/2011808.pdf","H")</f>
        <v>H</v>
      </c>
      <c r="X171" s="7" t="s">
        <v>0</v>
      </c>
      <c r="Y171" s="7" t="s">
        <v>0</v>
      </c>
      <c r="Z171" s="7" t="s">
        <v>0</v>
      </c>
      <c r="AA171" s="8">
        <v>45859</v>
      </c>
    </row>
    <row r="172" spans="1:27" ht="30" x14ac:dyDescent="0.25">
      <c r="A172" s="6" t="s">
        <v>522</v>
      </c>
      <c r="B172" s="6" t="s">
        <v>523</v>
      </c>
      <c r="C172" s="6" t="s">
        <v>524</v>
      </c>
      <c r="D172" s="7" t="s">
        <v>0</v>
      </c>
      <c r="E172" s="7" t="s">
        <v>0</v>
      </c>
      <c r="F172" s="7" t="s">
        <v>35</v>
      </c>
      <c r="G172" s="7" t="s">
        <v>0</v>
      </c>
      <c r="H172" s="7" t="s">
        <v>0</v>
      </c>
      <c r="I172" s="7" t="s">
        <v>0</v>
      </c>
      <c r="J172" s="7" t="s">
        <v>0</v>
      </c>
      <c r="K172" s="7" t="s">
        <v>0</v>
      </c>
      <c r="L172" s="7" t="s">
        <v>0</v>
      </c>
      <c r="M172" s="7" t="s">
        <v>0</v>
      </c>
      <c r="N172" s="7" t="s">
        <v>0</v>
      </c>
      <c r="O172" s="7" t="s">
        <v>0</v>
      </c>
      <c r="P172" s="7" t="s">
        <v>0</v>
      </c>
      <c r="Q172" s="7" t="s">
        <v>0</v>
      </c>
      <c r="R172" s="7" t="s">
        <v>0</v>
      </c>
      <c r="S172" s="7" t="s">
        <v>0</v>
      </c>
      <c r="T172" s="7" t="s">
        <v>0</v>
      </c>
      <c r="U172" s="7" t="s">
        <v>0</v>
      </c>
      <c r="V172" s="7" t="s">
        <v>0</v>
      </c>
      <c r="W172" s="16" t="str">
        <f>HYPERLINK("http://www.aruplab.com/Testing-Information/resources/HotLines/HotLineDocs/Jul2025QHL/2011810.pdf","H")</f>
        <v>H</v>
      </c>
      <c r="X172" s="7" t="s">
        <v>0</v>
      </c>
      <c r="Y172" s="7" t="s">
        <v>0</v>
      </c>
      <c r="Z172" s="7" t="s">
        <v>0</v>
      </c>
      <c r="AA172" s="8">
        <v>45859</v>
      </c>
    </row>
    <row r="173" spans="1:27" ht="45" x14ac:dyDescent="0.25">
      <c r="A173" s="6" t="s">
        <v>525</v>
      </c>
      <c r="B173" s="6" t="s">
        <v>526</v>
      </c>
      <c r="C173" s="6" t="s">
        <v>527</v>
      </c>
      <c r="D173" s="7" t="s">
        <v>0</v>
      </c>
      <c r="E173" s="7" t="s">
        <v>0</v>
      </c>
      <c r="F173" s="7" t="s">
        <v>35</v>
      </c>
      <c r="G173" s="7" t="s">
        <v>0</v>
      </c>
      <c r="H173" s="7" t="s">
        <v>0</v>
      </c>
      <c r="I173" s="7" t="s">
        <v>0</v>
      </c>
      <c r="J173" s="7" t="s">
        <v>0</v>
      </c>
      <c r="K173" s="7" t="s">
        <v>0</v>
      </c>
      <c r="L173" s="7" t="s">
        <v>0</v>
      </c>
      <c r="M173" s="7" t="s">
        <v>0</v>
      </c>
      <c r="N173" s="7" t="s">
        <v>0</v>
      </c>
      <c r="O173" s="7" t="s">
        <v>0</v>
      </c>
      <c r="P173" s="7" t="s">
        <v>0</v>
      </c>
      <c r="Q173" s="7" t="s">
        <v>0</v>
      </c>
      <c r="R173" s="7" t="s">
        <v>0</v>
      </c>
      <c r="S173" s="7" t="s">
        <v>0</v>
      </c>
      <c r="T173" s="7" t="s">
        <v>0</v>
      </c>
      <c r="U173" s="7" t="s">
        <v>0</v>
      </c>
      <c r="V173" s="7" t="s">
        <v>0</v>
      </c>
      <c r="W173" s="16" t="str">
        <f>HYPERLINK("http://www.aruplab.com/Testing-Information/resources/HotLines/HotLineDocs/Jul2025QHL/2011812.pdf","H")</f>
        <v>H</v>
      </c>
      <c r="X173" s="7" t="s">
        <v>0</v>
      </c>
      <c r="Y173" s="7" t="s">
        <v>0</v>
      </c>
      <c r="Z173" s="7" t="s">
        <v>0</v>
      </c>
      <c r="AA173" s="8">
        <v>45859</v>
      </c>
    </row>
    <row r="174" spans="1:27" ht="30" x14ac:dyDescent="0.25">
      <c r="A174" s="6" t="s">
        <v>528</v>
      </c>
      <c r="B174" s="6" t="s">
        <v>529</v>
      </c>
      <c r="C174" s="6" t="s">
        <v>530</v>
      </c>
      <c r="D174" s="7" t="s">
        <v>0</v>
      </c>
      <c r="E174" s="7" t="s">
        <v>0</v>
      </c>
      <c r="F174" s="7" t="s">
        <v>35</v>
      </c>
      <c r="G174" s="7" t="s">
        <v>0</v>
      </c>
      <c r="H174" s="7" t="s">
        <v>0</v>
      </c>
      <c r="I174" s="7" t="s">
        <v>0</v>
      </c>
      <c r="J174" s="7" t="s">
        <v>0</v>
      </c>
      <c r="K174" s="7" t="s">
        <v>0</v>
      </c>
      <c r="L174" s="7" t="s">
        <v>0</v>
      </c>
      <c r="M174" s="7" t="s">
        <v>0</v>
      </c>
      <c r="N174" s="7" t="s">
        <v>0</v>
      </c>
      <c r="O174" s="7" t="s">
        <v>0</v>
      </c>
      <c r="P174" s="7" t="s">
        <v>0</v>
      </c>
      <c r="Q174" s="7" t="s">
        <v>0</v>
      </c>
      <c r="R174" s="7" t="s">
        <v>0</v>
      </c>
      <c r="S174" s="7" t="s">
        <v>0</v>
      </c>
      <c r="T174" s="7" t="s">
        <v>0</v>
      </c>
      <c r="U174" s="7" t="s">
        <v>0</v>
      </c>
      <c r="V174" s="7" t="s">
        <v>0</v>
      </c>
      <c r="W174" s="16" t="str">
        <f>HYPERLINK("http://www.aruplab.com/Testing-Information/resources/HotLines/HotLineDocs/Jul2025QHL/2011815.pdf","H")</f>
        <v>H</v>
      </c>
      <c r="X174" s="7" t="s">
        <v>0</v>
      </c>
      <c r="Y174" s="7" t="s">
        <v>0</v>
      </c>
      <c r="Z174" s="7" t="s">
        <v>0</v>
      </c>
      <c r="AA174" s="8">
        <v>45859</v>
      </c>
    </row>
    <row r="175" spans="1:27" ht="30" x14ac:dyDescent="0.25">
      <c r="A175" s="6" t="s">
        <v>531</v>
      </c>
      <c r="B175" s="6" t="s">
        <v>532</v>
      </c>
      <c r="C175" s="6" t="s">
        <v>533</v>
      </c>
      <c r="D175" s="7" t="s">
        <v>0</v>
      </c>
      <c r="E175" s="7" t="s">
        <v>0</v>
      </c>
      <c r="F175" s="7" t="s">
        <v>35</v>
      </c>
      <c r="G175" s="7" t="s">
        <v>0</v>
      </c>
      <c r="H175" s="7" t="s">
        <v>0</v>
      </c>
      <c r="I175" s="7" t="s">
        <v>0</v>
      </c>
      <c r="J175" s="7" t="s">
        <v>0</v>
      </c>
      <c r="K175" s="7" t="s">
        <v>0</v>
      </c>
      <c r="L175" s="7" t="s">
        <v>0</v>
      </c>
      <c r="M175" s="7" t="s">
        <v>0</v>
      </c>
      <c r="N175" s="7" t="s">
        <v>0</v>
      </c>
      <c r="O175" s="7" t="s">
        <v>0</v>
      </c>
      <c r="P175" s="7" t="s">
        <v>0</v>
      </c>
      <c r="Q175" s="7" t="s">
        <v>0</v>
      </c>
      <c r="R175" s="7" t="s">
        <v>0</v>
      </c>
      <c r="S175" s="7" t="s">
        <v>0</v>
      </c>
      <c r="T175" s="7" t="s">
        <v>0</v>
      </c>
      <c r="U175" s="7" t="s">
        <v>0</v>
      </c>
      <c r="V175" s="7" t="s">
        <v>0</v>
      </c>
      <c r="W175" s="16" t="str">
        <f>HYPERLINK("http://www.aruplab.com/Testing-Information/resources/HotLines/HotLineDocs/Jul2025QHL/2011817.pdf","H")</f>
        <v>H</v>
      </c>
      <c r="X175" s="7" t="s">
        <v>0</v>
      </c>
      <c r="Y175" s="7" t="s">
        <v>0</v>
      </c>
      <c r="Z175" s="7" t="s">
        <v>0</v>
      </c>
      <c r="AA175" s="8">
        <v>45859</v>
      </c>
    </row>
    <row r="176" spans="1:27" ht="30" x14ac:dyDescent="0.25">
      <c r="A176" s="6" t="s">
        <v>534</v>
      </c>
      <c r="B176" s="6" t="s">
        <v>535</v>
      </c>
      <c r="C176" s="6" t="s">
        <v>536</v>
      </c>
      <c r="D176" s="7" t="s">
        <v>0</v>
      </c>
      <c r="E176" s="7" t="s">
        <v>0</v>
      </c>
      <c r="F176" s="7" t="s">
        <v>35</v>
      </c>
      <c r="G176" s="7" t="s">
        <v>0</v>
      </c>
      <c r="H176" s="7" t="s">
        <v>0</v>
      </c>
      <c r="I176" s="7" t="s">
        <v>0</v>
      </c>
      <c r="J176" s="7" t="s">
        <v>0</v>
      </c>
      <c r="K176" s="7" t="s">
        <v>0</v>
      </c>
      <c r="L176" s="7" t="s">
        <v>0</v>
      </c>
      <c r="M176" s="7" t="s">
        <v>0</v>
      </c>
      <c r="N176" s="7" t="s">
        <v>0</v>
      </c>
      <c r="O176" s="7" t="s">
        <v>0</v>
      </c>
      <c r="P176" s="7" t="s">
        <v>0</v>
      </c>
      <c r="Q176" s="7" t="s">
        <v>0</v>
      </c>
      <c r="R176" s="7" t="s">
        <v>0</v>
      </c>
      <c r="S176" s="7" t="s">
        <v>0</v>
      </c>
      <c r="T176" s="7" t="s">
        <v>0</v>
      </c>
      <c r="U176" s="7" t="s">
        <v>0</v>
      </c>
      <c r="V176" s="7" t="s">
        <v>0</v>
      </c>
      <c r="W176" s="16" t="str">
        <f>HYPERLINK("http://www.aruplab.com/Testing-Information/resources/HotLines/HotLineDocs/Jul2025QHL/2011819.pdf","H")</f>
        <v>H</v>
      </c>
      <c r="X176" s="7" t="s">
        <v>0</v>
      </c>
      <c r="Y176" s="7" t="s">
        <v>0</v>
      </c>
      <c r="Z176" s="7" t="s">
        <v>0</v>
      </c>
      <c r="AA176" s="8">
        <v>45859</v>
      </c>
    </row>
    <row r="177" spans="1:27" ht="45" x14ac:dyDescent="0.25">
      <c r="A177" s="6" t="s">
        <v>537</v>
      </c>
      <c r="B177" s="6" t="s">
        <v>538</v>
      </c>
      <c r="C177" s="6" t="s">
        <v>539</v>
      </c>
      <c r="D177" s="7" t="s">
        <v>0</v>
      </c>
      <c r="E177" s="7" t="s">
        <v>0</v>
      </c>
      <c r="F177" s="7" t="s">
        <v>0</v>
      </c>
      <c r="G177" s="7" t="s">
        <v>0</v>
      </c>
      <c r="H177" s="7" t="s">
        <v>0</v>
      </c>
      <c r="I177" s="7" t="s">
        <v>0</v>
      </c>
      <c r="J177" s="7" t="s">
        <v>0</v>
      </c>
      <c r="K177" s="7" t="s">
        <v>0</v>
      </c>
      <c r="L177" s="7" t="s">
        <v>0</v>
      </c>
      <c r="M177" s="7" t="s">
        <v>35</v>
      </c>
      <c r="N177" s="7" t="s">
        <v>0</v>
      </c>
      <c r="O177" s="7" t="s">
        <v>0</v>
      </c>
      <c r="P177" s="7" t="s">
        <v>0</v>
      </c>
      <c r="Q177" s="7" t="s">
        <v>0</v>
      </c>
      <c r="R177" s="7" t="s">
        <v>0</v>
      </c>
      <c r="S177" s="7" t="s">
        <v>0</v>
      </c>
      <c r="T177" s="7" t="s">
        <v>0</v>
      </c>
      <c r="U177" s="7" t="s">
        <v>0</v>
      </c>
      <c r="V177" s="7" t="s">
        <v>0</v>
      </c>
      <c r="W177" s="16" t="str">
        <f>HYPERLINK("http://www.aruplab.com/Testing-Information/resources/HotLines/HotLineDocs/Jul2025QHL/2012166.pdf","H")</f>
        <v>H</v>
      </c>
      <c r="X177" s="16" t="str">
        <f>HYPERLINK("http://www.aruplab.com/Testing-Information/resources/HotLines/TDMix/Jul2025QHL/2012166.xlsx","T")</f>
        <v>T</v>
      </c>
      <c r="Y177" s="16" t="str">
        <f>HYPERLINK("http://www.aruplab.com/Testing-Information/resources/HotLines/Sample_Reports/Jul2025QHL/2012166_Dihydrophyrinidine Dehydrogenase_DPYD.pdf","E")</f>
        <v>E</v>
      </c>
      <c r="Z177" s="7" t="s">
        <v>0</v>
      </c>
      <c r="AA177" s="8">
        <v>45859</v>
      </c>
    </row>
    <row r="178" spans="1:27" ht="75" x14ac:dyDescent="0.25">
      <c r="A178" s="6" t="s">
        <v>540</v>
      </c>
      <c r="B178" s="6" t="s">
        <v>541</v>
      </c>
      <c r="C178" s="6" t="s">
        <v>542</v>
      </c>
      <c r="D178" s="7" t="s">
        <v>0</v>
      </c>
      <c r="E178" s="7" t="s">
        <v>0</v>
      </c>
      <c r="F178" s="7" t="s">
        <v>0</v>
      </c>
      <c r="G178" s="7" t="s">
        <v>0</v>
      </c>
      <c r="H178" s="7" t="s">
        <v>0</v>
      </c>
      <c r="I178" s="7" t="s">
        <v>0</v>
      </c>
      <c r="J178" s="7" t="s">
        <v>0</v>
      </c>
      <c r="K178" s="7" t="s">
        <v>0</v>
      </c>
      <c r="L178" s="7" t="s">
        <v>0</v>
      </c>
      <c r="M178" s="7" t="s">
        <v>35</v>
      </c>
      <c r="N178" s="7" t="s">
        <v>0</v>
      </c>
      <c r="O178" s="7" t="s">
        <v>0</v>
      </c>
      <c r="P178" s="7" t="s">
        <v>0</v>
      </c>
      <c r="Q178" s="7" t="s">
        <v>0</v>
      </c>
      <c r="R178" s="7" t="s">
        <v>0</v>
      </c>
      <c r="S178" s="7" t="s">
        <v>0</v>
      </c>
      <c r="T178" s="7" t="s">
        <v>0</v>
      </c>
      <c r="U178" s="7" t="s">
        <v>0</v>
      </c>
      <c r="V178" s="7" t="s">
        <v>0</v>
      </c>
      <c r="W178" s="16" t="str">
        <f>HYPERLINK("http://www.aruplab.com/Testing-Information/resources/HotLines/HotLineDocs/Jul2025QHL/3000143.pdf","H")</f>
        <v>H</v>
      </c>
      <c r="X178" s="16" t="str">
        <f>HYPERLINK("http://www.aruplab.com/Testing-Information/resources/HotLines/TDMix/Jul2025QHL/3000143.xlsx","T")</f>
        <v>T</v>
      </c>
      <c r="Y178" s="7" t="s">
        <v>0</v>
      </c>
      <c r="Z178" s="7" t="s">
        <v>0</v>
      </c>
      <c r="AA178" s="8">
        <v>45859</v>
      </c>
    </row>
    <row r="179" spans="1:27" ht="45" x14ac:dyDescent="0.25">
      <c r="A179" s="6" t="s">
        <v>543</v>
      </c>
      <c r="B179" s="6" t="s">
        <v>544</v>
      </c>
      <c r="C179" s="6" t="s">
        <v>545</v>
      </c>
      <c r="D179" s="7" t="s">
        <v>0</v>
      </c>
      <c r="E179" s="7" t="s">
        <v>0</v>
      </c>
      <c r="F179" s="7" t="s">
        <v>0</v>
      </c>
      <c r="G179" s="7" t="s">
        <v>0</v>
      </c>
      <c r="H179" s="7" t="s">
        <v>0</v>
      </c>
      <c r="I179" s="7" t="s">
        <v>0</v>
      </c>
      <c r="J179" s="7" t="s">
        <v>0</v>
      </c>
      <c r="K179" s="7" t="s">
        <v>0</v>
      </c>
      <c r="L179" s="7" t="s">
        <v>0</v>
      </c>
      <c r="M179" s="7" t="s">
        <v>35</v>
      </c>
      <c r="N179" s="7" t="s">
        <v>0</v>
      </c>
      <c r="O179" s="7" t="s">
        <v>0</v>
      </c>
      <c r="P179" s="7" t="s">
        <v>0</v>
      </c>
      <c r="Q179" s="7" t="s">
        <v>0</v>
      </c>
      <c r="R179" s="7" t="s">
        <v>0</v>
      </c>
      <c r="S179" s="7" t="s">
        <v>0</v>
      </c>
      <c r="T179" s="7" t="s">
        <v>0</v>
      </c>
      <c r="U179" s="7" t="s">
        <v>0</v>
      </c>
      <c r="V179" s="7" t="s">
        <v>0</v>
      </c>
      <c r="W179" s="16" t="str">
        <f>HYPERLINK("http://www.aruplab.com/Testing-Information/resources/HotLines/HotLineDocs/Jul2025QHL/3000144.pdf","H")</f>
        <v>H</v>
      </c>
      <c r="X179" s="16" t="str">
        <f>HYPERLINK("http://www.aruplab.com/Testing-Information/resources/HotLines/TDMix/Jul2025QHL/3000144.xlsx","T")</f>
        <v>T</v>
      </c>
      <c r="Y179" s="7" t="s">
        <v>0</v>
      </c>
      <c r="Z179" s="7" t="s">
        <v>0</v>
      </c>
      <c r="AA179" s="8">
        <v>45859</v>
      </c>
    </row>
    <row r="180" spans="1:27" ht="60" x14ac:dyDescent="0.25">
      <c r="A180" s="6" t="s">
        <v>546</v>
      </c>
      <c r="B180" s="6" t="s">
        <v>547</v>
      </c>
      <c r="C180" s="6" t="s">
        <v>548</v>
      </c>
      <c r="D180" s="7" t="s">
        <v>0</v>
      </c>
      <c r="E180" s="7" t="s">
        <v>0</v>
      </c>
      <c r="F180" s="7" t="s">
        <v>0</v>
      </c>
      <c r="G180" s="7" t="s">
        <v>0</v>
      </c>
      <c r="H180" s="7" t="s">
        <v>0</v>
      </c>
      <c r="I180" s="7" t="s">
        <v>0</v>
      </c>
      <c r="J180" s="7" t="s">
        <v>0</v>
      </c>
      <c r="K180" s="7" t="s">
        <v>0</v>
      </c>
      <c r="L180" s="7" t="s">
        <v>0</v>
      </c>
      <c r="M180" s="7" t="s">
        <v>35</v>
      </c>
      <c r="N180" s="7" t="s">
        <v>0</v>
      </c>
      <c r="O180" s="7" t="s">
        <v>0</v>
      </c>
      <c r="P180" s="7" t="s">
        <v>0</v>
      </c>
      <c r="Q180" s="7" t="s">
        <v>0</v>
      </c>
      <c r="R180" s="7" t="s">
        <v>0</v>
      </c>
      <c r="S180" s="7" t="s">
        <v>0</v>
      </c>
      <c r="T180" s="7" t="s">
        <v>0</v>
      </c>
      <c r="U180" s="7" t="s">
        <v>0</v>
      </c>
      <c r="V180" s="7" t="s">
        <v>0</v>
      </c>
      <c r="W180" s="16" t="str">
        <f>HYPERLINK("http://www.aruplab.com/Testing-Information/resources/HotLines/HotLineDocs/Jul2025QHL/3000145.pdf","H")</f>
        <v>H</v>
      </c>
      <c r="X180" s="16" t="str">
        <f>HYPERLINK("http://www.aruplab.com/Testing-Information/resources/HotLines/TDMix/Jul2025QHL/3000145.xlsx","T")</f>
        <v>T</v>
      </c>
      <c r="Y180" s="7" t="s">
        <v>0</v>
      </c>
      <c r="Z180" s="7" t="s">
        <v>0</v>
      </c>
      <c r="AA180" s="8">
        <v>45859</v>
      </c>
    </row>
    <row r="181" spans="1:27" ht="45" x14ac:dyDescent="0.25">
      <c r="A181" s="6" t="s">
        <v>549</v>
      </c>
      <c r="B181" s="6" t="s">
        <v>550</v>
      </c>
      <c r="C181" s="6" t="s">
        <v>551</v>
      </c>
      <c r="D181" s="7" t="s">
        <v>0</v>
      </c>
      <c r="E181" s="7" t="s">
        <v>0</v>
      </c>
      <c r="F181" s="7" t="s">
        <v>0</v>
      </c>
      <c r="G181" s="7" t="s">
        <v>0</v>
      </c>
      <c r="H181" s="7" t="s">
        <v>0</v>
      </c>
      <c r="I181" s="7" t="s">
        <v>0</v>
      </c>
      <c r="J181" s="7" t="s">
        <v>0</v>
      </c>
      <c r="K181" s="7" t="s">
        <v>0</v>
      </c>
      <c r="L181" s="7" t="s">
        <v>0</v>
      </c>
      <c r="M181" s="7" t="s">
        <v>35</v>
      </c>
      <c r="N181" s="7" t="s">
        <v>0</v>
      </c>
      <c r="O181" s="7" t="s">
        <v>0</v>
      </c>
      <c r="P181" s="7" t="s">
        <v>0</v>
      </c>
      <c r="Q181" s="7" t="s">
        <v>0</v>
      </c>
      <c r="R181" s="7" t="s">
        <v>0</v>
      </c>
      <c r="S181" s="7" t="s">
        <v>0</v>
      </c>
      <c r="T181" s="7" t="s">
        <v>0</v>
      </c>
      <c r="U181" s="7" t="s">
        <v>0</v>
      </c>
      <c r="V181" s="7" t="s">
        <v>0</v>
      </c>
      <c r="W181" s="16" t="str">
        <f>HYPERLINK("http://www.aruplab.com/Testing-Information/resources/HotLines/HotLineDocs/Jul2025QHL/3000146.pdf","H")</f>
        <v>H</v>
      </c>
      <c r="X181" s="16" t="str">
        <f>HYPERLINK("http://www.aruplab.com/Testing-Information/resources/HotLines/TDMix/Jul2025QHL/3000146.xlsx","T")</f>
        <v>T</v>
      </c>
      <c r="Y181" s="7" t="s">
        <v>0</v>
      </c>
      <c r="Z181" s="7" t="s">
        <v>0</v>
      </c>
      <c r="AA181" s="8">
        <v>45859</v>
      </c>
    </row>
    <row r="182" spans="1:27" ht="60" x14ac:dyDescent="0.25">
      <c r="A182" s="6" t="s">
        <v>552</v>
      </c>
      <c r="B182" s="6" t="s">
        <v>553</v>
      </c>
      <c r="C182" s="6" t="s">
        <v>554</v>
      </c>
      <c r="D182" s="7" t="s">
        <v>0</v>
      </c>
      <c r="E182" s="7" t="s">
        <v>0</v>
      </c>
      <c r="F182" s="7" t="s">
        <v>0</v>
      </c>
      <c r="G182" s="7" t="s">
        <v>0</v>
      </c>
      <c r="H182" s="7" t="s">
        <v>0</v>
      </c>
      <c r="I182" s="7" t="s">
        <v>0</v>
      </c>
      <c r="J182" s="7" t="s">
        <v>0</v>
      </c>
      <c r="K182" s="7" t="s">
        <v>0</v>
      </c>
      <c r="L182" s="7" t="s">
        <v>0</v>
      </c>
      <c r="M182" s="7" t="s">
        <v>35</v>
      </c>
      <c r="N182" s="7" t="s">
        <v>0</v>
      </c>
      <c r="O182" s="7" t="s">
        <v>0</v>
      </c>
      <c r="P182" s="7" t="s">
        <v>0</v>
      </c>
      <c r="Q182" s="7" t="s">
        <v>0</v>
      </c>
      <c r="R182" s="7" t="s">
        <v>0</v>
      </c>
      <c r="S182" s="7" t="s">
        <v>0</v>
      </c>
      <c r="T182" s="7" t="s">
        <v>0</v>
      </c>
      <c r="U182" s="7" t="s">
        <v>0</v>
      </c>
      <c r="V182" s="7" t="s">
        <v>0</v>
      </c>
      <c r="W182" s="16" t="str">
        <f>HYPERLINK("http://www.aruplab.com/Testing-Information/resources/HotLines/HotLineDocs/Jul2025QHL/3000147.pdf","H")</f>
        <v>H</v>
      </c>
      <c r="X182" s="16" t="str">
        <f>HYPERLINK("http://www.aruplab.com/Testing-Information/resources/HotLines/TDMix/Jul2025QHL/3000147.xlsx","T")</f>
        <v>T</v>
      </c>
      <c r="Y182" s="7" t="s">
        <v>0</v>
      </c>
      <c r="Z182" s="7" t="s">
        <v>0</v>
      </c>
      <c r="AA182" s="8">
        <v>45859</v>
      </c>
    </row>
    <row r="183" spans="1:27" ht="45" x14ac:dyDescent="0.25">
      <c r="A183" s="6" t="s">
        <v>555</v>
      </c>
      <c r="B183" s="6" t="s">
        <v>556</v>
      </c>
      <c r="C183" s="6" t="s">
        <v>557</v>
      </c>
      <c r="D183" s="7" t="s">
        <v>0</v>
      </c>
      <c r="E183" s="7" t="s">
        <v>0</v>
      </c>
      <c r="F183" s="7" t="s">
        <v>0</v>
      </c>
      <c r="G183" s="7" t="s">
        <v>0</v>
      </c>
      <c r="H183" s="7" t="s">
        <v>0</v>
      </c>
      <c r="I183" s="7" t="s">
        <v>0</v>
      </c>
      <c r="J183" s="7" t="s">
        <v>0</v>
      </c>
      <c r="K183" s="7" t="s">
        <v>0</v>
      </c>
      <c r="L183" s="7" t="s">
        <v>0</v>
      </c>
      <c r="M183" s="7" t="s">
        <v>0</v>
      </c>
      <c r="N183" s="7" t="s">
        <v>0</v>
      </c>
      <c r="O183" s="7" t="s">
        <v>0</v>
      </c>
      <c r="P183" s="7" t="s">
        <v>0</v>
      </c>
      <c r="Q183" s="7" t="s">
        <v>0</v>
      </c>
      <c r="R183" s="7" t="s">
        <v>0</v>
      </c>
      <c r="S183" s="7" t="s">
        <v>0</v>
      </c>
      <c r="T183" s="7" t="s">
        <v>0</v>
      </c>
      <c r="U183" s="7" t="s">
        <v>0</v>
      </c>
      <c r="V183" s="7" t="s">
        <v>35</v>
      </c>
      <c r="W183" s="16" t="str">
        <f>HYPERLINK("http://www.aruplab.com/Testing-Information/resources/HotLines/HotLineDocs/Jul2025QHL/2025.06.06 Jul Quarterly Hotline Inactivations.pdf","H")</f>
        <v>H</v>
      </c>
      <c r="X183" s="7" t="s">
        <v>0</v>
      </c>
      <c r="Y183" s="7" t="s">
        <v>0</v>
      </c>
      <c r="Z183" s="7" t="s">
        <v>0</v>
      </c>
      <c r="AA183" s="8">
        <v>45859</v>
      </c>
    </row>
    <row r="184" spans="1:27" ht="30" x14ac:dyDescent="0.25">
      <c r="A184" s="6" t="s">
        <v>558</v>
      </c>
      <c r="B184" s="6" t="s">
        <v>559</v>
      </c>
      <c r="C184" s="6" t="s">
        <v>560</v>
      </c>
      <c r="D184" s="7" t="s">
        <v>0</v>
      </c>
      <c r="E184" s="7" t="s">
        <v>0</v>
      </c>
      <c r="F184" s="7" t="s">
        <v>35</v>
      </c>
      <c r="G184" s="7" t="s">
        <v>0</v>
      </c>
      <c r="H184" s="7" t="s">
        <v>0</v>
      </c>
      <c r="I184" s="7" t="s">
        <v>0</v>
      </c>
      <c r="J184" s="7" t="s">
        <v>0</v>
      </c>
      <c r="K184" s="7" t="s">
        <v>0</v>
      </c>
      <c r="L184" s="7" t="s">
        <v>0</v>
      </c>
      <c r="M184" s="7" t="s">
        <v>0</v>
      </c>
      <c r="N184" s="7" t="s">
        <v>0</v>
      </c>
      <c r="O184" s="7" t="s">
        <v>0</v>
      </c>
      <c r="P184" s="7" t="s">
        <v>0</v>
      </c>
      <c r="Q184" s="7" t="s">
        <v>0</v>
      </c>
      <c r="R184" s="7" t="s">
        <v>0</v>
      </c>
      <c r="S184" s="7" t="s">
        <v>0</v>
      </c>
      <c r="T184" s="7" t="s">
        <v>0</v>
      </c>
      <c r="U184" s="7" t="s">
        <v>0</v>
      </c>
      <c r="V184" s="7" t="s">
        <v>0</v>
      </c>
      <c r="W184" s="16" t="str">
        <f>HYPERLINK("http://www.aruplab.com/Testing-Information/resources/HotLines/HotLineDocs/Jul2025QHL/3000876.pdf","H")</f>
        <v>H</v>
      </c>
      <c r="X184" s="7" t="s">
        <v>0</v>
      </c>
      <c r="Y184" s="7" t="s">
        <v>0</v>
      </c>
      <c r="Z184" s="7" t="s">
        <v>0</v>
      </c>
      <c r="AA184" s="8">
        <v>45859</v>
      </c>
    </row>
    <row r="185" spans="1:27" ht="30" x14ac:dyDescent="0.25">
      <c r="A185" s="6" t="s">
        <v>561</v>
      </c>
      <c r="B185" s="6" t="s">
        <v>562</v>
      </c>
      <c r="C185" s="6" t="s">
        <v>563</v>
      </c>
      <c r="D185" s="7" t="s">
        <v>0</v>
      </c>
      <c r="E185" s="7" t="s">
        <v>0</v>
      </c>
      <c r="F185" s="7" t="s">
        <v>0</v>
      </c>
      <c r="G185" s="7" t="s">
        <v>0</v>
      </c>
      <c r="H185" s="7" t="s">
        <v>0</v>
      </c>
      <c r="I185" s="7" t="s">
        <v>0</v>
      </c>
      <c r="J185" s="7" t="s">
        <v>0</v>
      </c>
      <c r="K185" s="7" t="s">
        <v>0</v>
      </c>
      <c r="L185" s="7" t="s">
        <v>0</v>
      </c>
      <c r="M185" s="7" t="s">
        <v>0</v>
      </c>
      <c r="N185" s="7" t="s">
        <v>0</v>
      </c>
      <c r="O185" s="7" t="s">
        <v>0</v>
      </c>
      <c r="P185" s="7" t="s">
        <v>0</v>
      </c>
      <c r="Q185" s="7" t="s">
        <v>0</v>
      </c>
      <c r="R185" s="7" t="s">
        <v>0</v>
      </c>
      <c r="S185" s="7" t="s">
        <v>35</v>
      </c>
      <c r="T185" s="7" t="s">
        <v>0</v>
      </c>
      <c r="U185" s="7" t="s">
        <v>0</v>
      </c>
      <c r="V185" s="7" t="s">
        <v>0</v>
      </c>
      <c r="W185" s="16" t="str">
        <f>HYPERLINK("http://www.aruplab.com/Testing-Information/resources/HotLines/HotLineDocs/Jul2025QHL/3000894.pdf","H")</f>
        <v>H</v>
      </c>
      <c r="X185" s="7" t="s">
        <v>0</v>
      </c>
      <c r="Y185" s="7" t="s">
        <v>0</v>
      </c>
      <c r="Z185" s="7" t="s">
        <v>0</v>
      </c>
      <c r="AA185" s="8">
        <v>45859</v>
      </c>
    </row>
    <row r="186" spans="1:27" x14ac:dyDescent="0.25">
      <c r="A186" s="6" t="s">
        <v>564</v>
      </c>
      <c r="B186" s="6" t="s">
        <v>565</v>
      </c>
      <c r="C186" s="6" t="s">
        <v>566</v>
      </c>
      <c r="D186" s="7" t="s">
        <v>0</v>
      </c>
      <c r="E186" s="7" t="s">
        <v>0</v>
      </c>
      <c r="F186" s="7" t="s">
        <v>0</v>
      </c>
      <c r="G186" s="7" t="s">
        <v>0</v>
      </c>
      <c r="H186" s="7" t="s">
        <v>0</v>
      </c>
      <c r="I186" s="7" t="s">
        <v>0</v>
      </c>
      <c r="J186" s="7" t="s">
        <v>0</v>
      </c>
      <c r="K186" s="7" t="s">
        <v>0</v>
      </c>
      <c r="L186" s="7" t="s">
        <v>0</v>
      </c>
      <c r="M186" s="7" t="s">
        <v>35</v>
      </c>
      <c r="N186" s="7" t="s">
        <v>0</v>
      </c>
      <c r="O186" s="7" t="s">
        <v>0</v>
      </c>
      <c r="P186" s="7" t="s">
        <v>0</v>
      </c>
      <c r="Q186" s="7" t="s">
        <v>0</v>
      </c>
      <c r="R186" s="7" t="s">
        <v>0</v>
      </c>
      <c r="S186" s="7" t="s">
        <v>0</v>
      </c>
      <c r="T186" s="7" t="s">
        <v>0</v>
      </c>
      <c r="U186" s="7" t="s">
        <v>0</v>
      </c>
      <c r="V186" s="7" t="s">
        <v>0</v>
      </c>
      <c r="W186" s="16" t="str">
        <f>HYPERLINK("http://www.aruplab.com/Testing-Information/resources/HotLines/HotLineDocs/Jul2025QHL/3001518.pdf","H")</f>
        <v>H</v>
      </c>
      <c r="X186" s="16" t="str">
        <f>HYPERLINK("http://www.aruplab.com/Testing-Information/resources/HotLines/TDMix/Jul2025QHL/3001518.xlsx","T")</f>
        <v>T</v>
      </c>
      <c r="Y186" s="16" t="str">
        <f>HYPERLINK("http://www.aruplab.com/Testing-Information/resources/HotLines/Sample_Reports/Jul2025QHL/3001518_CYP3A4 and CYP3A5_3A4-3A5.pdf","E")</f>
        <v>E</v>
      </c>
      <c r="Z186" s="7" t="s">
        <v>0</v>
      </c>
      <c r="AA186" s="8">
        <v>45859</v>
      </c>
    </row>
    <row r="187" spans="1:27" ht="30" x14ac:dyDescent="0.25">
      <c r="A187" s="6" t="s">
        <v>567</v>
      </c>
      <c r="B187" s="6" t="s">
        <v>568</v>
      </c>
      <c r="C187" s="6" t="s">
        <v>569</v>
      </c>
      <c r="D187" s="7" t="s">
        <v>0</v>
      </c>
      <c r="E187" s="7" t="s">
        <v>0</v>
      </c>
      <c r="F187" s="7" t="s">
        <v>0</v>
      </c>
      <c r="G187" s="7" t="s">
        <v>0</v>
      </c>
      <c r="H187" s="7" t="s">
        <v>0</v>
      </c>
      <c r="I187" s="7" t="s">
        <v>0</v>
      </c>
      <c r="J187" s="7" t="s">
        <v>0</v>
      </c>
      <c r="K187" s="7" t="s">
        <v>0</v>
      </c>
      <c r="L187" s="7" t="s">
        <v>0</v>
      </c>
      <c r="M187" s="7" t="s">
        <v>35</v>
      </c>
      <c r="N187" s="7" t="s">
        <v>0</v>
      </c>
      <c r="O187" s="7" t="s">
        <v>0</v>
      </c>
      <c r="P187" s="7" t="s">
        <v>0</v>
      </c>
      <c r="Q187" s="7" t="s">
        <v>0</v>
      </c>
      <c r="R187" s="7" t="s">
        <v>0</v>
      </c>
      <c r="S187" s="7" t="s">
        <v>0</v>
      </c>
      <c r="T187" s="7" t="s">
        <v>0</v>
      </c>
      <c r="U187" s="7" t="s">
        <v>0</v>
      </c>
      <c r="V187" s="7" t="s">
        <v>0</v>
      </c>
      <c r="W187" s="16" t="str">
        <f>HYPERLINK("http://www.aruplab.com/Testing-Information/resources/HotLines/HotLineDocs/Jul2025QHL/3001524.pdf","H")</f>
        <v>H</v>
      </c>
      <c r="X187" s="16" t="str">
        <f>HYPERLINK("http://www.aruplab.com/Testing-Information/resources/HotLines/TDMix/Jul2025QHL/3001524.xlsx","T")</f>
        <v>T</v>
      </c>
      <c r="Y187" s="16" t="str">
        <f>HYPERLINK("http://www.aruplab.com/Testing-Information/resources/HotLines/Sample_Reports/Jul2025QHL/3001524_Cytochrome P450 Genotyping Panel_CYP PANEL.pdf","E")</f>
        <v>E</v>
      </c>
      <c r="Z187" s="7" t="s">
        <v>0</v>
      </c>
      <c r="AA187" s="8">
        <v>45859</v>
      </c>
    </row>
    <row r="188" spans="1:27" ht="30" x14ac:dyDescent="0.25">
      <c r="A188" s="6" t="s">
        <v>570</v>
      </c>
      <c r="B188" s="6" t="s">
        <v>571</v>
      </c>
      <c r="C188" s="6" t="s">
        <v>572</v>
      </c>
      <c r="D188" s="7" t="s">
        <v>0</v>
      </c>
      <c r="E188" s="7" t="s">
        <v>0</v>
      </c>
      <c r="F188" s="7" t="s">
        <v>0</v>
      </c>
      <c r="G188" s="7" t="s">
        <v>0</v>
      </c>
      <c r="H188" s="7" t="s">
        <v>35</v>
      </c>
      <c r="I188" s="7" t="s">
        <v>0</v>
      </c>
      <c r="J188" s="7" t="s">
        <v>0</v>
      </c>
      <c r="K188" s="7" t="s">
        <v>0</v>
      </c>
      <c r="L188" s="7" t="s">
        <v>0</v>
      </c>
      <c r="M188" s="7" t="s">
        <v>0</v>
      </c>
      <c r="N188" s="7" t="s">
        <v>0</v>
      </c>
      <c r="O188" s="7" t="s">
        <v>0</v>
      </c>
      <c r="P188" s="7" t="s">
        <v>0</v>
      </c>
      <c r="Q188" s="7" t="s">
        <v>0</v>
      </c>
      <c r="R188" s="7" t="s">
        <v>0</v>
      </c>
      <c r="S188" s="7" t="s">
        <v>0</v>
      </c>
      <c r="T188" s="7" t="s">
        <v>0</v>
      </c>
      <c r="U188" s="7" t="s">
        <v>0</v>
      </c>
      <c r="V188" s="7" t="s">
        <v>0</v>
      </c>
      <c r="W188" s="16" t="str">
        <f>HYPERLINK("http://www.aruplab.com/Testing-Information/resources/HotLines/HotLineDocs/Jul2025QHL/3001831.pdf","H")</f>
        <v>H</v>
      </c>
      <c r="X188" s="7" t="s">
        <v>0</v>
      </c>
      <c r="Y188" s="7" t="s">
        <v>0</v>
      </c>
      <c r="Z188" s="7" t="s">
        <v>0</v>
      </c>
      <c r="AA188" s="8">
        <v>45859</v>
      </c>
    </row>
    <row r="189" spans="1:27" ht="30" x14ac:dyDescent="0.25">
      <c r="A189" s="6" t="s">
        <v>573</v>
      </c>
      <c r="B189" s="6" t="s">
        <v>574</v>
      </c>
      <c r="C189" s="6" t="s">
        <v>575</v>
      </c>
      <c r="D189" s="7" t="s">
        <v>0</v>
      </c>
      <c r="E189" s="7" t="s">
        <v>0</v>
      </c>
      <c r="F189" s="7" t="s">
        <v>0</v>
      </c>
      <c r="G189" s="7" t="s">
        <v>0</v>
      </c>
      <c r="H189" s="7" t="s">
        <v>35</v>
      </c>
      <c r="I189" s="7" t="s">
        <v>0</v>
      </c>
      <c r="J189" s="7" t="s">
        <v>0</v>
      </c>
      <c r="K189" s="7" t="s">
        <v>0</v>
      </c>
      <c r="L189" s="7" t="s">
        <v>0</v>
      </c>
      <c r="M189" s="7" t="s">
        <v>0</v>
      </c>
      <c r="N189" s="7" t="s">
        <v>0</v>
      </c>
      <c r="O189" s="7" t="s">
        <v>0</v>
      </c>
      <c r="P189" s="7" t="s">
        <v>0</v>
      </c>
      <c r="Q189" s="7" t="s">
        <v>0</v>
      </c>
      <c r="R189" s="7" t="s">
        <v>0</v>
      </c>
      <c r="S189" s="7" t="s">
        <v>0</v>
      </c>
      <c r="T189" s="7" t="s">
        <v>0</v>
      </c>
      <c r="U189" s="7" t="s">
        <v>0</v>
      </c>
      <c r="V189" s="7" t="s">
        <v>0</v>
      </c>
      <c r="W189" s="16" t="str">
        <f>HYPERLINK("http://www.aruplab.com/Testing-Information/resources/HotLines/HotLineDocs/Jul2025QHL/3002477.pdf","H")</f>
        <v>H</v>
      </c>
      <c r="X189" s="7" t="s">
        <v>0</v>
      </c>
      <c r="Y189" s="7" t="s">
        <v>0</v>
      </c>
      <c r="Z189" s="7" t="s">
        <v>0</v>
      </c>
      <c r="AA189" s="8">
        <v>45859</v>
      </c>
    </row>
    <row r="190" spans="1:27" ht="30" x14ac:dyDescent="0.25">
      <c r="A190" s="6" t="s">
        <v>576</v>
      </c>
      <c r="B190" s="6" t="s">
        <v>577</v>
      </c>
      <c r="C190" s="6" t="s">
        <v>578</v>
      </c>
      <c r="D190" s="7" t="s">
        <v>0</v>
      </c>
      <c r="E190" s="7" t="s">
        <v>0</v>
      </c>
      <c r="F190" s="7" t="s">
        <v>0</v>
      </c>
      <c r="G190" s="7" t="s">
        <v>0</v>
      </c>
      <c r="H190" s="7" t="s">
        <v>35</v>
      </c>
      <c r="I190" s="7" t="s">
        <v>0</v>
      </c>
      <c r="J190" s="7" t="s">
        <v>0</v>
      </c>
      <c r="K190" s="7" t="s">
        <v>0</v>
      </c>
      <c r="L190" s="7" t="s">
        <v>0</v>
      </c>
      <c r="M190" s="7" t="s">
        <v>0</v>
      </c>
      <c r="N190" s="7" t="s">
        <v>0</v>
      </c>
      <c r="O190" s="7" t="s">
        <v>0</v>
      </c>
      <c r="P190" s="7" t="s">
        <v>0</v>
      </c>
      <c r="Q190" s="7" t="s">
        <v>0</v>
      </c>
      <c r="R190" s="7" t="s">
        <v>0</v>
      </c>
      <c r="S190" s="7" t="s">
        <v>0</v>
      </c>
      <c r="T190" s="7" t="s">
        <v>0</v>
      </c>
      <c r="U190" s="7" t="s">
        <v>0</v>
      </c>
      <c r="V190" s="7" t="s">
        <v>0</v>
      </c>
      <c r="W190" s="16" t="str">
        <f>HYPERLINK("http://www.aruplab.com/Testing-Information/resources/HotLines/HotLineDocs/Jul2025QHL/3002478.pdf","H")</f>
        <v>H</v>
      </c>
      <c r="X190" s="7" t="s">
        <v>0</v>
      </c>
      <c r="Y190" s="7" t="s">
        <v>0</v>
      </c>
      <c r="Z190" s="7" t="s">
        <v>0</v>
      </c>
      <c r="AA190" s="8">
        <v>45859</v>
      </c>
    </row>
    <row r="191" spans="1:27" ht="30" x14ac:dyDescent="0.25">
      <c r="A191" s="6" t="s">
        <v>579</v>
      </c>
      <c r="B191" s="6" t="s">
        <v>580</v>
      </c>
      <c r="C191" s="6" t="s">
        <v>581</v>
      </c>
      <c r="D191" s="7" t="s">
        <v>0</v>
      </c>
      <c r="E191" s="7" t="s">
        <v>0</v>
      </c>
      <c r="F191" s="7" t="s">
        <v>0</v>
      </c>
      <c r="G191" s="7" t="s">
        <v>0</v>
      </c>
      <c r="H191" s="7" t="s">
        <v>35</v>
      </c>
      <c r="I191" s="7" t="s">
        <v>0</v>
      </c>
      <c r="J191" s="7" t="s">
        <v>0</v>
      </c>
      <c r="K191" s="7" t="s">
        <v>0</v>
      </c>
      <c r="L191" s="7" t="s">
        <v>0</v>
      </c>
      <c r="M191" s="7" t="s">
        <v>0</v>
      </c>
      <c r="N191" s="7" t="s">
        <v>0</v>
      </c>
      <c r="O191" s="7" t="s">
        <v>0</v>
      </c>
      <c r="P191" s="7" t="s">
        <v>0</v>
      </c>
      <c r="Q191" s="7" t="s">
        <v>0</v>
      </c>
      <c r="R191" s="7" t="s">
        <v>0</v>
      </c>
      <c r="S191" s="7" t="s">
        <v>0</v>
      </c>
      <c r="T191" s="7" t="s">
        <v>0</v>
      </c>
      <c r="U191" s="7" t="s">
        <v>0</v>
      </c>
      <c r="V191" s="7" t="s">
        <v>0</v>
      </c>
      <c r="W191" s="16" t="str">
        <f>HYPERLINK("http://www.aruplab.com/Testing-Information/resources/HotLines/HotLineDocs/Jul2025QHL/3002482.pdf","H")</f>
        <v>H</v>
      </c>
      <c r="X191" s="7" t="s">
        <v>0</v>
      </c>
      <c r="Y191" s="7" t="s">
        <v>0</v>
      </c>
      <c r="Z191" s="7" t="s">
        <v>0</v>
      </c>
      <c r="AA191" s="8">
        <v>45859</v>
      </c>
    </row>
    <row r="192" spans="1:27" ht="45" x14ac:dyDescent="0.25">
      <c r="A192" s="6" t="s">
        <v>582</v>
      </c>
      <c r="B192" s="6" t="s">
        <v>583</v>
      </c>
      <c r="C192" s="6" t="s">
        <v>584</v>
      </c>
      <c r="D192" s="7" t="s">
        <v>0</v>
      </c>
      <c r="E192" s="7" t="s">
        <v>0</v>
      </c>
      <c r="F192" s="7" t="s">
        <v>35</v>
      </c>
      <c r="G192" s="7" t="s">
        <v>0</v>
      </c>
      <c r="H192" s="7" t="s">
        <v>0</v>
      </c>
      <c r="I192" s="7" t="s">
        <v>0</v>
      </c>
      <c r="J192" s="7" t="s">
        <v>0</v>
      </c>
      <c r="K192" s="7" t="s">
        <v>0</v>
      </c>
      <c r="L192" s="7" t="s">
        <v>0</v>
      </c>
      <c r="M192" s="7" t="s">
        <v>0</v>
      </c>
      <c r="N192" s="7" t="s">
        <v>0</v>
      </c>
      <c r="O192" s="7" t="s">
        <v>0</v>
      </c>
      <c r="P192" s="7" t="s">
        <v>0</v>
      </c>
      <c r="Q192" s="7" t="s">
        <v>0</v>
      </c>
      <c r="R192" s="7" t="s">
        <v>0</v>
      </c>
      <c r="S192" s="7" t="s">
        <v>0</v>
      </c>
      <c r="T192" s="7" t="s">
        <v>0</v>
      </c>
      <c r="U192" s="7" t="s">
        <v>0</v>
      </c>
      <c r="V192" s="7" t="s">
        <v>0</v>
      </c>
      <c r="W192" s="16" t="str">
        <f>HYPERLINK("http://www.aruplab.com/Testing-Information/resources/HotLines/HotLineDocs/Jul2025QHL/3002598.pdf","H")</f>
        <v>H</v>
      </c>
      <c r="X192" s="7" t="s">
        <v>0</v>
      </c>
      <c r="Y192" s="7" t="s">
        <v>0</v>
      </c>
      <c r="Z192" s="7" t="s">
        <v>0</v>
      </c>
      <c r="AA192" s="8">
        <v>45859</v>
      </c>
    </row>
    <row r="193" spans="1:27" ht="60" x14ac:dyDescent="0.25">
      <c r="A193" s="6" t="s">
        <v>585</v>
      </c>
      <c r="B193" s="6" t="s">
        <v>586</v>
      </c>
      <c r="C193" s="6" t="s">
        <v>587</v>
      </c>
      <c r="D193" s="7" t="s">
        <v>0</v>
      </c>
      <c r="E193" s="7" t="s">
        <v>0</v>
      </c>
      <c r="F193" s="7" t="s">
        <v>35</v>
      </c>
      <c r="G193" s="7" t="s">
        <v>0</v>
      </c>
      <c r="H193" s="7" t="s">
        <v>0</v>
      </c>
      <c r="I193" s="7" t="s">
        <v>0</v>
      </c>
      <c r="J193" s="7" t="s">
        <v>0</v>
      </c>
      <c r="K193" s="7" t="s">
        <v>0</v>
      </c>
      <c r="L193" s="7" t="s">
        <v>0</v>
      </c>
      <c r="M193" s="7" t="s">
        <v>0</v>
      </c>
      <c r="N193" s="7" t="s">
        <v>0</v>
      </c>
      <c r="O193" s="7" t="s">
        <v>0</v>
      </c>
      <c r="P193" s="7" t="s">
        <v>0</v>
      </c>
      <c r="Q193" s="7" t="s">
        <v>0</v>
      </c>
      <c r="R193" s="7" t="s">
        <v>0</v>
      </c>
      <c r="S193" s="7" t="s">
        <v>0</v>
      </c>
      <c r="T193" s="7" t="s">
        <v>0</v>
      </c>
      <c r="U193" s="7" t="s">
        <v>0</v>
      </c>
      <c r="V193" s="7" t="s">
        <v>0</v>
      </c>
      <c r="W193" s="16" t="str">
        <f>HYPERLINK("http://www.aruplab.com/Testing-Information/resources/HotLines/HotLineDocs/Jul2025QHL/3003043.pdf","H")</f>
        <v>H</v>
      </c>
      <c r="X193" s="7" t="s">
        <v>0</v>
      </c>
      <c r="Y193" s="7" t="s">
        <v>0</v>
      </c>
      <c r="Z193" s="7" t="s">
        <v>0</v>
      </c>
      <c r="AA193" s="8">
        <v>45859</v>
      </c>
    </row>
    <row r="194" spans="1:27" ht="45" x14ac:dyDescent="0.25">
      <c r="A194" s="6" t="s">
        <v>588</v>
      </c>
      <c r="B194" s="6" t="s">
        <v>589</v>
      </c>
      <c r="C194" s="6" t="s">
        <v>590</v>
      </c>
      <c r="D194" s="7" t="s">
        <v>0</v>
      </c>
      <c r="E194" s="7" t="s">
        <v>0</v>
      </c>
      <c r="F194" s="7" t="s">
        <v>0</v>
      </c>
      <c r="G194" s="7" t="s">
        <v>0</v>
      </c>
      <c r="H194" s="7" t="s">
        <v>35</v>
      </c>
      <c r="I194" s="7" t="s">
        <v>0</v>
      </c>
      <c r="J194" s="7" t="s">
        <v>0</v>
      </c>
      <c r="K194" s="7" t="s">
        <v>0</v>
      </c>
      <c r="L194" s="7" t="s">
        <v>0</v>
      </c>
      <c r="M194" s="7" t="s">
        <v>0</v>
      </c>
      <c r="N194" s="7" t="s">
        <v>0</v>
      </c>
      <c r="O194" s="7" t="s">
        <v>0</v>
      </c>
      <c r="P194" s="7" t="s">
        <v>0</v>
      </c>
      <c r="Q194" s="7" t="s">
        <v>0</v>
      </c>
      <c r="R194" s="7" t="s">
        <v>0</v>
      </c>
      <c r="S194" s="7" t="s">
        <v>0</v>
      </c>
      <c r="T194" s="7" t="s">
        <v>0</v>
      </c>
      <c r="U194" s="7" t="s">
        <v>0</v>
      </c>
      <c r="V194" s="7" t="s">
        <v>0</v>
      </c>
      <c r="W194" s="16" t="str">
        <f>HYPERLINK("http://www.aruplab.com/Testing-Information/resources/HotLines/HotLineDocs/Jul2025QHL/3003748.pdf","H")</f>
        <v>H</v>
      </c>
      <c r="X194" s="7" t="s">
        <v>0</v>
      </c>
      <c r="Y194" s="7" t="s">
        <v>0</v>
      </c>
      <c r="Z194" s="7" t="s">
        <v>0</v>
      </c>
      <c r="AA194" s="8">
        <v>45859</v>
      </c>
    </row>
    <row r="195" spans="1:27" ht="45" x14ac:dyDescent="0.25">
      <c r="A195" s="6" t="s">
        <v>591</v>
      </c>
      <c r="B195" s="6" t="s">
        <v>592</v>
      </c>
      <c r="C195" s="6" t="s">
        <v>593</v>
      </c>
      <c r="D195" s="7" t="s">
        <v>0</v>
      </c>
      <c r="E195" s="7" t="s">
        <v>0</v>
      </c>
      <c r="F195" s="7" t="s">
        <v>35</v>
      </c>
      <c r="G195" s="7" t="s">
        <v>0</v>
      </c>
      <c r="H195" s="7" t="s">
        <v>0</v>
      </c>
      <c r="I195" s="7" t="s">
        <v>0</v>
      </c>
      <c r="J195" s="7" t="s">
        <v>0</v>
      </c>
      <c r="K195" s="7" t="s">
        <v>0</v>
      </c>
      <c r="L195" s="7" t="s">
        <v>0</v>
      </c>
      <c r="M195" s="7" t="s">
        <v>0</v>
      </c>
      <c r="N195" s="7" t="s">
        <v>0</v>
      </c>
      <c r="O195" s="7" t="s">
        <v>0</v>
      </c>
      <c r="P195" s="7" t="s">
        <v>0</v>
      </c>
      <c r="Q195" s="7" t="s">
        <v>0</v>
      </c>
      <c r="R195" s="7" t="s">
        <v>0</v>
      </c>
      <c r="S195" s="7" t="s">
        <v>0</v>
      </c>
      <c r="T195" s="7" t="s">
        <v>0</v>
      </c>
      <c r="U195" s="7" t="s">
        <v>0</v>
      </c>
      <c r="V195" s="7" t="s">
        <v>0</v>
      </c>
      <c r="W195" s="16" t="str">
        <f>HYPERLINK("http://www.aruplab.com/Testing-Information/resources/HotLines/HotLineDocs/Jul2025QHL/3003924.pdf","H")</f>
        <v>H</v>
      </c>
      <c r="X195" s="7" t="s">
        <v>0</v>
      </c>
      <c r="Y195" s="7" t="s">
        <v>0</v>
      </c>
      <c r="Z195" s="7" t="s">
        <v>0</v>
      </c>
      <c r="AA195" s="8">
        <v>45859</v>
      </c>
    </row>
    <row r="196" spans="1:27" ht="30" x14ac:dyDescent="0.25">
      <c r="A196" s="6" t="s">
        <v>594</v>
      </c>
      <c r="B196" s="6" t="s">
        <v>595</v>
      </c>
      <c r="C196" s="6" t="s">
        <v>596</v>
      </c>
      <c r="D196" s="7" t="s">
        <v>0</v>
      </c>
      <c r="E196" s="7" t="s">
        <v>0</v>
      </c>
      <c r="F196" s="7" t="s">
        <v>0</v>
      </c>
      <c r="G196" s="7" t="s">
        <v>0</v>
      </c>
      <c r="H196" s="7" t="s">
        <v>35</v>
      </c>
      <c r="I196" s="7" t="s">
        <v>0</v>
      </c>
      <c r="J196" s="7" t="s">
        <v>0</v>
      </c>
      <c r="K196" s="7" t="s">
        <v>0</v>
      </c>
      <c r="L196" s="7" t="s">
        <v>0</v>
      </c>
      <c r="M196" s="7" t="s">
        <v>0</v>
      </c>
      <c r="N196" s="7" t="s">
        <v>0</v>
      </c>
      <c r="O196" s="7" t="s">
        <v>0</v>
      </c>
      <c r="P196" s="7" t="s">
        <v>0</v>
      </c>
      <c r="Q196" s="7" t="s">
        <v>0</v>
      </c>
      <c r="R196" s="7" t="s">
        <v>0</v>
      </c>
      <c r="S196" s="7" t="s">
        <v>0</v>
      </c>
      <c r="T196" s="7" t="s">
        <v>0</v>
      </c>
      <c r="U196" s="7" t="s">
        <v>0</v>
      </c>
      <c r="V196" s="7" t="s">
        <v>0</v>
      </c>
      <c r="W196" s="16" t="str">
        <f>HYPERLINK("http://www.aruplab.com/Testing-Information/resources/HotLines/HotLineDocs/Jul2025QHL/3003992.pdf","H")</f>
        <v>H</v>
      </c>
      <c r="X196" s="7" t="s">
        <v>0</v>
      </c>
      <c r="Y196" s="7" t="s">
        <v>0</v>
      </c>
      <c r="Z196" s="7" t="s">
        <v>0</v>
      </c>
      <c r="AA196" s="8">
        <v>45859</v>
      </c>
    </row>
    <row r="197" spans="1:27" ht="60" x14ac:dyDescent="0.25">
      <c r="A197" s="6" t="s">
        <v>597</v>
      </c>
      <c r="B197" s="6" t="s">
        <v>598</v>
      </c>
      <c r="C197" s="6" t="s">
        <v>599</v>
      </c>
      <c r="D197" s="7" t="s">
        <v>0</v>
      </c>
      <c r="E197" s="7" t="s">
        <v>0</v>
      </c>
      <c r="F197" s="7" t="s">
        <v>0</v>
      </c>
      <c r="G197" s="7" t="s">
        <v>0</v>
      </c>
      <c r="H197" s="7" t="s">
        <v>0</v>
      </c>
      <c r="I197" s="7" t="s">
        <v>0</v>
      </c>
      <c r="J197" s="7" t="s">
        <v>0</v>
      </c>
      <c r="K197" s="7" t="s">
        <v>0</v>
      </c>
      <c r="L197" s="7" t="s">
        <v>0</v>
      </c>
      <c r="M197" s="7" t="s">
        <v>35</v>
      </c>
      <c r="N197" s="7" t="s">
        <v>0</v>
      </c>
      <c r="O197" s="7" t="s">
        <v>0</v>
      </c>
      <c r="P197" s="7" t="s">
        <v>0</v>
      </c>
      <c r="Q197" s="7" t="s">
        <v>0</v>
      </c>
      <c r="R197" s="7" t="s">
        <v>0</v>
      </c>
      <c r="S197" s="7" t="s">
        <v>0</v>
      </c>
      <c r="T197" s="7" t="s">
        <v>0</v>
      </c>
      <c r="U197" s="7" t="s">
        <v>0</v>
      </c>
      <c r="V197" s="7" t="s">
        <v>0</v>
      </c>
      <c r="W197" s="16" t="str">
        <f>HYPERLINK("http://www.aruplab.com/Testing-Information/resources/HotLines/HotLineDocs/Jul2025QHL/3004255.pdf","H")</f>
        <v>H</v>
      </c>
      <c r="X197" s="16" t="str">
        <f>HYPERLINK("http://www.aruplab.com/Testing-Information/resources/HotLines/TDMix/Jul2025QHL/3004255.xlsx","T")</f>
        <v>T</v>
      </c>
      <c r="Y197" s="16" t="str">
        <f>HYPERLINK("http://www.aruplab.com/Testing-Information/resources/HotLines/Sample_Reports/Jul2025QHL/3004255_Cytochrome P450 Genotyping Panel, with GeneDose Access_CYP GD.pdf","E")</f>
        <v>E</v>
      </c>
      <c r="Z197" s="7" t="s">
        <v>0</v>
      </c>
      <c r="AA197" s="8">
        <v>45859</v>
      </c>
    </row>
    <row r="198" spans="1:27" ht="75" x14ac:dyDescent="0.25">
      <c r="A198" s="6" t="s">
        <v>600</v>
      </c>
      <c r="B198" s="6" t="s">
        <v>601</v>
      </c>
      <c r="C198" s="6" t="s">
        <v>602</v>
      </c>
      <c r="D198" s="7" t="s">
        <v>0</v>
      </c>
      <c r="E198" s="7" t="s">
        <v>0</v>
      </c>
      <c r="F198" s="7" t="s">
        <v>0</v>
      </c>
      <c r="G198" s="7" t="s">
        <v>0</v>
      </c>
      <c r="H198" s="7" t="s">
        <v>0</v>
      </c>
      <c r="I198" s="7" t="s">
        <v>0</v>
      </c>
      <c r="J198" s="7" t="s">
        <v>0</v>
      </c>
      <c r="K198" s="7" t="s">
        <v>0</v>
      </c>
      <c r="L198" s="7" t="s">
        <v>0</v>
      </c>
      <c r="M198" s="7" t="s">
        <v>35</v>
      </c>
      <c r="N198" s="7" t="s">
        <v>0</v>
      </c>
      <c r="O198" s="7" t="s">
        <v>0</v>
      </c>
      <c r="P198" s="7" t="s">
        <v>0</v>
      </c>
      <c r="Q198" s="7" t="s">
        <v>0</v>
      </c>
      <c r="R198" s="7" t="s">
        <v>0</v>
      </c>
      <c r="S198" s="7" t="s">
        <v>0</v>
      </c>
      <c r="T198" s="7" t="s">
        <v>0</v>
      </c>
      <c r="U198" s="7" t="s">
        <v>0</v>
      </c>
      <c r="V198" s="7" t="s">
        <v>0</v>
      </c>
      <c r="W198" s="16" t="str">
        <f>HYPERLINK("http://www.aruplab.com/Testing-Information/resources/HotLines/HotLineDocs/Jul2025QHL/3004273.pdf","H")</f>
        <v>H</v>
      </c>
      <c r="X198" s="16" t="str">
        <f>HYPERLINK("http://www.aruplab.com/Testing-Information/resources/HotLines/TDMix/Jul2025QHL/3004273.xlsx","T")</f>
        <v>T</v>
      </c>
      <c r="Y198" s="16" t="str">
        <f>HYPERLINK("http://www.aruplab.com/Testing-Information/resources/HotLines/Sample_Reports/Jul2025QHL/3004273_Cytogenomic Molecular Inversion Probe Array FFPE Tissue-Products of Conception_CMAPFFPE.pdf","E")</f>
        <v>E</v>
      </c>
      <c r="Z198" s="7" t="s">
        <v>0</v>
      </c>
      <c r="AA198" s="8">
        <v>45859</v>
      </c>
    </row>
    <row r="199" spans="1:27" ht="60" x14ac:dyDescent="0.25">
      <c r="A199" s="6" t="s">
        <v>603</v>
      </c>
      <c r="B199" s="6" t="s">
        <v>604</v>
      </c>
      <c r="C199" s="6" t="s">
        <v>605</v>
      </c>
      <c r="D199" s="7" t="s">
        <v>0</v>
      </c>
      <c r="E199" s="7" t="s">
        <v>0</v>
      </c>
      <c r="F199" s="7" t="s">
        <v>0</v>
      </c>
      <c r="G199" s="7" t="s">
        <v>0</v>
      </c>
      <c r="H199" s="7" t="s">
        <v>0</v>
      </c>
      <c r="I199" s="7" t="s">
        <v>0</v>
      </c>
      <c r="J199" s="7" t="s">
        <v>0</v>
      </c>
      <c r="K199" s="7" t="s">
        <v>0</v>
      </c>
      <c r="L199" s="7" t="s">
        <v>0</v>
      </c>
      <c r="M199" s="7" t="s">
        <v>35</v>
      </c>
      <c r="N199" s="7" t="s">
        <v>0</v>
      </c>
      <c r="O199" s="7" t="s">
        <v>0</v>
      </c>
      <c r="P199" s="7" t="s">
        <v>0</v>
      </c>
      <c r="Q199" s="7" t="s">
        <v>0</v>
      </c>
      <c r="R199" s="7" t="s">
        <v>0</v>
      </c>
      <c r="S199" s="7" t="s">
        <v>0</v>
      </c>
      <c r="T199" s="7" t="s">
        <v>0</v>
      </c>
      <c r="U199" s="7" t="s">
        <v>0</v>
      </c>
      <c r="V199" s="7" t="s">
        <v>0</v>
      </c>
      <c r="W199" s="16" t="str">
        <f>HYPERLINK("http://www.aruplab.com/Testing-Information/resources/HotLines/HotLineDocs/Jul2025QHL/3004275.pdf","H")</f>
        <v>H</v>
      </c>
      <c r="X199" s="16" t="str">
        <f>HYPERLINK("http://www.aruplab.com/Testing-Information/resources/HotLines/TDMix/Jul2025QHL/3004275.xlsx","T")</f>
        <v>T</v>
      </c>
      <c r="Y199" s="16" t="str">
        <f>HYPERLINK("http://www.aruplab.com/Testing-Information/resources/HotLines/Sample_Reports/Jul2025QHL/3004275_Cytogenomic Molecular Inversion Probe Array FFPE Tissue Oncology_FFPEARRAY.pdf","E")</f>
        <v>E</v>
      </c>
      <c r="Z199" s="7" t="s">
        <v>0</v>
      </c>
      <c r="AA199" s="8">
        <v>45859</v>
      </c>
    </row>
    <row r="200" spans="1:27" ht="30" x14ac:dyDescent="0.25">
      <c r="A200" s="6" t="s">
        <v>606</v>
      </c>
      <c r="B200" s="6" t="s">
        <v>607</v>
      </c>
      <c r="C200" s="6" t="s">
        <v>608</v>
      </c>
      <c r="D200" s="7" t="s">
        <v>0</v>
      </c>
      <c r="E200" s="7" t="s">
        <v>0</v>
      </c>
      <c r="F200" s="7" t="s">
        <v>0</v>
      </c>
      <c r="G200" s="7" t="s">
        <v>0</v>
      </c>
      <c r="H200" s="7" t="s">
        <v>0</v>
      </c>
      <c r="I200" s="7" t="s">
        <v>0</v>
      </c>
      <c r="J200" s="7" t="s">
        <v>0</v>
      </c>
      <c r="K200" s="7" t="s">
        <v>0</v>
      </c>
      <c r="L200" s="7" t="s">
        <v>0</v>
      </c>
      <c r="M200" s="7" t="s">
        <v>35</v>
      </c>
      <c r="N200" s="7" t="s">
        <v>0</v>
      </c>
      <c r="O200" s="7" t="s">
        <v>0</v>
      </c>
      <c r="P200" s="7" t="s">
        <v>0</v>
      </c>
      <c r="Q200" s="7" t="s">
        <v>0</v>
      </c>
      <c r="R200" s="7" t="s">
        <v>0</v>
      </c>
      <c r="S200" s="7" t="s">
        <v>0</v>
      </c>
      <c r="T200" s="7" t="s">
        <v>0</v>
      </c>
      <c r="U200" s="7" t="s">
        <v>0</v>
      </c>
      <c r="V200" s="7" t="s">
        <v>0</v>
      </c>
      <c r="W200" s="16" t="str">
        <f>HYPERLINK("http://www.aruplab.com/Testing-Information/resources/HotLines/HotLineDocs/Jul2025QHL/3004471.pdf","H")</f>
        <v>H</v>
      </c>
      <c r="X200" s="16" t="str">
        <f>HYPERLINK("http://www.aruplab.com/Testing-Information/resources/HotLines/TDMix/Jul2025QHL/3004471.xlsx","T")</f>
        <v>T</v>
      </c>
      <c r="Y200" s="16" t="str">
        <f>HYPERLINK("http://www.aruplab.com/Testing-Information/resources/HotLines/Sample_Reports/Jul2025QHL/3004471_Pharmacogenetics Panel Psychotropics_PGX PSYCH.pdf","E")</f>
        <v>E</v>
      </c>
      <c r="Z200" s="7" t="s">
        <v>0</v>
      </c>
      <c r="AA200" s="8">
        <v>45859</v>
      </c>
    </row>
    <row r="201" spans="1:27" ht="60" x14ac:dyDescent="0.25">
      <c r="A201" s="6" t="s">
        <v>609</v>
      </c>
      <c r="B201" s="6" t="s">
        <v>610</v>
      </c>
      <c r="C201" s="6" t="s">
        <v>611</v>
      </c>
      <c r="D201" s="7" t="s">
        <v>0</v>
      </c>
      <c r="E201" s="7" t="s">
        <v>0</v>
      </c>
      <c r="F201" s="7" t="s">
        <v>0</v>
      </c>
      <c r="G201" s="7" t="s">
        <v>0</v>
      </c>
      <c r="H201" s="7" t="s">
        <v>35</v>
      </c>
      <c r="I201" s="7" t="s">
        <v>0</v>
      </c>
      <c r="J201" s="7" t="s">
        <v>0</v>
      </c>
      <c r="K201" s="7" t="s">
        <v>0</v>
      </c>
      <c r="L201" s="7" t="s">
        <v>0</v>
      </c>
      <c r="M201" s="7" t="s">
        <v>0</v>
      </c>
      <c r="N201" s="7" t="s">
        <v>0</v>
      </c>
      <c r="O201" s="7" t="s">
        <v>0</v>
      </c>
      <c r="P201" s="7" t="s">
        <v>0</v>
      </c>
      <c r="Q201" s="7" t="s">
        <v>0</v>
      </c>
      <c r="R201" s="7" t="s">
        <v>0</v>
      </c>
      <c r="S201" s="7" t="s">
        <v>0</v>
      </c>
      <c r="T201" s="7" t="s">
        <v>0</v>
      </c>
      <c r="U201" s="7" t="s">
        <v>0</v>
      </c>
      <c r="V201" s="7" t="s">
        <v>0</v>
      </c>
      <c r="W201" s="16" t="str">
        <f>HYPERLINK("http://www.aruplab.com/Testing-Information/resources/HotLines/HotLineDocs/Jul2025QHL/3004833.pdf","H")</f>
        <v>H</v>
      </c>
      <c r="X201" s="7" t="s">
        <v>0</v>
      </c>
      <c r="Y201" s="7" t="s">
        <v>0</v>
      </c>
      <c r="Z201" s="7" t="s">
        <v>0</v>
      </c>
      <c r="AA201" s="8">
        <v>45859</v>
      </c>
    </row>
    <row r="202" spans="1:27" ht="45" x14ac:dyDescent="0.25">
      <c r="A202" s="6" t="s">
        <v>612</v>
      </c>
      <c r="B202" s="6" t="s">
        <v>613</v>
      </c>
      <c r="C202" s="6" t="s">
        <v>614</v>
      </c>
      <c r="D202" s="7" t="s">
        <v>0</v>
      </c>
      <c r="E202" s="7" t="s">
        <v>0</v>
      </c>
      <c r="F202" s="7" t="s">
        <v>0</v>
      </c>
      <c r="G202" s="7" t="s">
        <v>0</v>
      </c>
      <c r="H202" s="7" t="s">
        <v>35</v>
      </c>
      <c r="I202" s="7" t="s">
        <v>0</v>
      </c>
      <c r="J202" s="7" t="s">
        <v>0</v>
      </c>
      <c r="K202" s="7" t="s">
        <v>0</v>
      </c>
      <c r="L202" s="7" t="s">
        <v>0</v>
      </c>
      <c r="M202" s="7" t="s">
        <v>0</v>
      </c>
      <c r="N202" s="7" t="s">
        <v>0</v>
      </c>
      <c r="O202" s="7" t="s">
        <v>0</v>
      </c>
      <c r="P202" s="7" t="s">
        <v>0</v>
      </c>
      <c r="Q202" s="7" t="s">
        <v>0</v>
      </c>
      <c r="R202" s="7" t="s">
        <v>0</v>
      </c>
      <c r="S202" s="7" t="s">
        <v>0</v>
      </c>
      <c r="T202" s="7" t="s">
        <v>0</v>
      </c>
      <c r="U202" s="7" t="s">
        <v>0</v>
      </c>
      <c r="V202" s="7" t="s">
        <v>0</v>
      </c>
      <c r="W202" s="16" t="str">
        <f>HYPERLINK("http://www.aruplab.com/Testing-Information/resources/HotLines/HotLineDocs/Jul2025QHL/3005060.pdf","H")</f>
        <v>H</v>
      </c>
      <c r="X202" s="7" t="s">
        <v>0</v>
      </c>
      <c r="Y202" s="7" t="s">
        <v>0</v>
      </c>
      <c r="Z202" s="7" t="s">
        <v>0</v>
      </c>
      <c r="AA202" s="8">
        <v>45859</v>
      </c>
    </row>
    <row r="203" spans="1:27" ht="75" x14ac:dyDescent="0.25">
      <c r="A203" s="6" t="s">
        <v>615</v>
      </c>
      <c r="B203" s="6" t="s">
        <v>616</v>
      </c>
      <c r="C203" s="6" t="s">
        <v>617</v>
      </c>
      <c r="D203" s="7" t="s">
        <v>0</v>
      </c>
      <c r="E203" s="7" t="s">
        <v>0</v>
      </c>
      <c r="F203" s="7" t="s">
        <v>0</v>
      </c>
      <c r="G203" s="7" t="s">
        <v>0</v>
      </c>
      <c r="H203" s="7" t="s">
        <v>0</v>
      </c>
      <c r="I203" s="7" t="s">
        <v>0</v>
      </c>
      <c r="J203" s="7" t="s">
        <v>0</v>
      </c>
      <c r="K203" s="7" t="s">
        <v>0</v>
      </c>
      <c r="L203" s="7" t="s">
        <v>0</v>
      </c>
      <c r="M203" s="7" t="s">
        <v>0</v>
      </c>
      <c r="N203" s="7" t="s">
        <v>0</v>
      </c>
      <c r="O203" s="7" t="s">
        <v>0</v>
      </c>
      <c r="P203" s="7" t="s">
        <v>0</v>
      </c>
      <c r="Q203" s="7" t="s">
        <v>0</v>
      </c>
      <c r="R203" s="7" t="s">
        <v>0</v>
      </c>
      <c r="S203" s="7" t="s">
        <v>0</v>
      </c>
      <c r="T203" s="7" t="s">
        <v>0</v>
      </c>
      <c r="U203" s="7" t="s">
        <v>0</v>
      </c>
      <c r="V203" s="7" t="s">
        <v>35</v>
      </c>
      <c r="W203" s="16" t="str">
        <f>HYPERLINK("http://www.aruplab.com/Testing-Information/resources/HotLines/HotLineDocs/Jul2025QHL/2025.06.06 Jul Quarterly Hotline Inactivations.pdf","H")</f>
        <v>H</v>
      </c>
      <c r="X203" s="7" t="s">
        <v>0</v>
      </c>
      <c r="Y203" s="7" t="s">
        <v>0</v>
      </c>
      <c r="Z203" s="7" t="s">
        <v>0</v>
      </c>
      <c r="AA203" s="8">
        <v>45859</v>
      </c>
    </row>
    <row r="204" spans="1:27" ht="30" x14ac:dyDescent="0.25">
      <c r="A204" s="6" t="s">
        <v>618</v>
      </c>
      <c r="B204" s="6" t="s">
        <v>619</v>
      </c>
      <c r="C204" s="6" t="s">
        <v>620</v>
      </c>
      <c r="D204" s="7" t="s">
        <v>0</v>
      </c>
      <c r="E204" s="7" t="s">
        <v>0</v>
      </c>
      <c r="F204" s="7" t="s">
        <v>0</v>
      </c>
      <c r="G204" s="7" t="s">
        <v>35</v>
      </c>
      <c r="H204" s="7" t="s">
        <v>35</v>
      </c>
      <c r="I204" s="7" t="s">
        <v>0</v>
      </c>
      <c r="J204" s="7" t="s">
        <v>35</v>
      </c>
      <c r="K204" s="7" t="s">
        <v>0</v>
      </c>
      <c r="L204" s="7" t="s">
        <v>0</v>
      </c>
      <c r="M204" s="7" t="s">
        <v>0</v>
      </c>
      <c r="N204" s="7" t="s">
        <v>0</v>
      </c>
      <c r="O204" s="7" t="s">
        <v>0</v>
      </c>
      <c r="P204" s="7" t="s">
        <v>0</v>
      </c>
      <c r="Q204" s="7" t="s">
        <v>0</v>
      </c>
      <c r="R204" s="7" t="s">
        <v>0</v>
      </c>
      <c r="S204" s="7" t="s">
        <v>0</v>
      </c>
      <c r="T204" s="7" t="s">
        <v>0</v>
      </c>
      <c r="U204" s="7" t="s">
        <v>0</v>
      </c>
      <c r="V204" s="7" t="s">
        <v>0</v>
      </c>
      <c r="W204" s="16" t="str">
        <f>HYPERLINK("http://www.aruplab.com/Testing-Information/resources/HotLines/HotLineDocs/Jul2025QHL/3006066.pdf","H")</f>
        <v>H</v>
      </c>
      <c r="X204" s="7" t="s">
        <v>0</v>
      </c>
      <c r="Y204" s="16" t="str">
        <f>HYPERLINK("http://www.aruplab.com/Testing-Information/resources/HotLines/Sample_Reports/Jul2025QHL/3006066_Toxocara Antibodies, IgG by ELISA_TOXOCARA G.pdf","E")</f>
        <v>E</v>
      </c>
      <c r="Z204" s="7" t="s">
        <v>0</v>
      </c>
      <c r="AA204" s="8">
        <v>45859</v>
      </c>
    </row>
    <row r="205" spans="1:27" ht="60" x14ac:dyDescent="0.25">
      <c r="A205" s="6" t="s">
        <v>621</v>
      </c>
      <c r="B205" s="6" t="s">
        <v>622</v>
      </c>
      <c r="C205" s="6" t="s">
        <v>623</v>
      </c>
      <c r="D205" s="7" t="s">
        <v>0</v>
      </c>
      <c r="E205" s="7" t="s">
        <v>0</v>
      </c>
      <c r="F205" s="7" t="s">
        <v>0</v>
      </c>
      <c r="G205" s="7" t="s">
        <v>0</v>
      </c>
      <c r="H205" s="7" t="s">
        <v>0</v>
      </c>
      <c r="I205" s="7" t="s">
        <v>0</v>
      </c>
      <c r="J205" s="7" t="s">
        <v>0</v>
      </c>
      <c r="K205" s="7" t="s">
        <v>0</v>
      </c>
      <c r="L205" s="7" t="s">
        <v>0</v>
      </c>
      <c r="M205" s="7" t="s">
        <v>35</v>
      </c>
      <c r="N205" s="7" t="s">
        <v>0</v>
      </c>
      <c r="O205" s="7" t="s">
        <v>0</v>
      </c>
      <c r="P205" s="7" t="s">
        <v>0</v>
      </c>
      <c r="Q205" s="7" t="s">
        <v>0</v>
      </c>
      <c r="R205" s="7" t="s">
        <v>0</v>
      </c>
      <c r="S205" s="7" t="s">
        <v>0</v>
      </c>
      <c r="T205" s="7" t="s">
        <v>0</v>
      </c>
      <c r="U205" s="7" t="s">
        <v>0</v>
      </c>
      <c r="V205" s="7" t="s">
        <v>0</v>
      </c>
      <c r="W205" s="16" t="str">
        <f>HYPERLINK("http://www.aruplab.com/Testing-Information/resources/HotLines/HotLineDocs/Jul2025QHL/3006366.pdf","H")</f>
        <v>H</v>
      </c>
      <c r="X205" s="16" t="str">
        <f>HYPERLINK("http://www.aruplab.com/Testing-Information/resources/HotLines/TDMix/Jul2025QHL/3006366.xlsx","T")</f>
        <v>T</v>
      </c>
      <c r="Y205" s="16" t="str">
        <f>HYPERLINK("http://www.aruplab.com/Testing-Information/resources/HotLines/Sample_Reports/Jul2025QHL/3006366_Pharmacogenetics Panel Psychotropics, with GeneDose Access_PGXPSYC GD.pdf","E")</f>
        <v>E</v>
      </c>
      <c r="Z205" s="7" t="s">
        <v>0</v>
      </c>
      <c r="AA205" s="8">
        <v>45859</v>
      </c>
    </row>
    <row r="206" spans="1:27" ht="45" x14ac:dyDescent="0.25">
      <c r="A206" s="6" t="s">
        <v>624</v>
      </c>
      <c r="B206" s="6" t="s">
        <v>625</v>
      </c>
      <c r="C206" s="6" t="s">
        <v>626</v>
      </c>
      <c r="D206" s="7" t="s">
        <v>0</v>
      </c>
      <c r="E206" s="7" t="s">
        <v>0</v>
      </c>
      <c r="F206" s="7" t="s">
        <v>0</v>
      </c>
      <c r="G206" s="7" t="s">
        <v>0</v>
      </c>
      <c r="H206" s="7" t="s">
        <v>35</v>
      </c>
      <c r="I206" s="7" t="s">
        <v>35</v>
      </c>
      <c r="J206" s="7" t="s">
        <v>35</v>
      </c>
      <c r="K206" s="7" t="s">
        <v>0</v>
      </c>
      <c r="L206" s="7" t="s">
        <v>0</v>
      </c>
      <c r="M206" s="7" t="s">
        <v>0</v>
      </c>
      <c r="N206" s="7" t="s">
        <v>0</v>
      </c>
      <c r="O206" s="7" t="s">
        <v>0</v>
      </c>
      <c r="P206" s="7" t="s">
        <v>0</v>
      </c>
      <c r="Q206" s="7" t="s">
        <v>0</v>
      </c>
      <c r="R206" s="7" t="s">
        <v>0</v>
      </c>
      <c r="S206" s="7" t="s">
        <v>35</v>
      </c>
      <c r="T206" s="7" t="s">
        <v>0</v>
      </c>
      <c r="U206" s="7" t="s">
        <v>0</v>
      </c>
      <c r="V206" s="7" t="s">
        <v>0</v>
      </c>
      <c r="W206" s="16" t="str">
        <f>HYPERLINK("http://www.aruplab.com/Testing-Information/resources/HotLines/HotLineDocs/Jul2025QHL/3016636.pdf","H")</f>
        <v>H</v>
      </c>
      <c r="X206" s="7" t="s">
        <v>0</v>
      </c>
      <c r="Y206" s="16" t="str">
        <f>HYPERLINK("http://www.aruplab.com/Testing-Information/resources/HotLines/Sample_Reports/Jul2025QHL/3016636_HPV Primary Screen by PCR with Reflex to Cytology_HPV PRMRY.pdf","E")</f>
        <v>E</v>
      </c>
      <c r="Z206" s="7" t="s">
        <v>0</v>
      </c>
      <c r="AA206" s="8">
        <v>45859</v>
      </c>
    </row>
    <row r="207" spans="1:27" ht="45" x14ac:dyDescent="0.25">
      <c r="A207" s="6" t="s">
        <v>627</v>
      </c>
      <c r="B207" s="6" t="s">
        <v>628</v>
      </c>
      <c r="C207" s="6" t="s">
        <v>629</v>
      </c>
      <c r="D207" s="7" t="s">
        <v>0</v>
      </c>
      <c r="E207" s="7" t="s">
        <v>0</v>
      </c>
      <c r="F207" s="7" t="s">
        <v>0</v>
      </c>
      <c r="G207" s="7" t="s">
        <v>0</v>
      </c>
      <c r="H207" s="7" t="s">
        <v>35</v>
      </c>
      <c r="I207" s="7" t="s">
        <v>0</v>
      </c>
      <c r="J207" s="7" t="s">
        <v>0</v>
      </c>
      <c r="K207" s="7" t="s">
        <v>0</v>
      </c>
      <c r="L207" s="7" t="s">
        <v>0</v>
      </c>
      <c r="M207" s="7" t="s">
        <v>0</v>
      </c>
      <c r="N207" s="7" t="s">
        <v>0</v>
      </c>
      <c r="O207" s="7" t="s">
        <v>0</v>
      </c>
      <c r="P207" s="7" t="s">
        <v>0</v>
      </c>
      <c r="Q207" s="7" t="s">
        <v>0</v>
      </c>
      <c r="R207" s="7" t="s">
        <v>0</v>
      </c>
      <c r="S207" s="7" t="s">
        <v>0</v>
      </c>
      <c r="T207" s="7" t="s">
        <v>0</v>
      </c>
      <c r="U207" s="7" t="s">
        <v>0</v>
      </c>
      <c r="V207" s="7" t="s">
        <v>0</v>
      </c>
      <c r="W207" s="16" t="str">
        <f>HYPERLINK("http://www.aruplab.com/Testing-Information/resources/HotLines/HotLineDocs/Jul2025QHL/3016767.pdf","H")</f>
        <v>H</v>
      </c>
      <c r="X207" s="7" t="s">
        <v>0</v>
      </c>
      <c r="Y207" s="7" t="s">
        <v>0</v>
      </c>
      <c r="Z207" s="7" t="s">
        <v>0</v>
      </c>
      <c r="AA207" s="8">
        <v>45859</v>
      </c>
    </row>
    <row r="208" spans="1:27" ht="30" x14ac:dyDescent="0.25">
      <c r="A208" s="6" t="s">
        <v>630</v>
      </c>
      <c r="B208" s="6" t="s">
        <v>631</v>
      </c>
      <c r="C208" s="6" t="s">
        <v>632</v>
      </c>
      <c r="D208" s="7" t="s">
        <v>0</v>
      </c>
      <c r="E208" s="7" t="s">
        <v>0</v>
      </c>
      <c r="F208" s="7" t="s">
        <v>35</v>
      </c>
      <c r="G208" s="7" t="s">
        <v>0</v>
      </c>
      <c r="H208" s="7" t="s">
        <v>0</v>
      </c>
      <c r="I208" s="7" t="s">
        <v>0</v>
      </c>
      <c r="J208" s="7" t="s">
        <v>0</v>
      </c>
      <c r="K208" s="7" t="s">
        <v>0</v>
      </c>
      <c r="L208" s="7" t="s">
        <v>0</v>
      </c>
      <c r="M208" s="7" t="s">
        <v>0</v>
      </c>
      <c r="N208" s="7" t="s">
        <v>0</v>
      </c>
      <c r="O208" s="7" t="s">
        <v>0</v>
      </c>
      <c r="P208" s="7" t="s">
        <v>0</v>
      </c>
      <c r="Q208" s="7" t="s">
        <v>0</v>
      </c>
      <c r="R208" s="7" t="s">
        <v>0</v>
      </c>
      <c r="S208" s="7" t="s">
        <v>0</v>
      </c>
      <c r="T208" s="7" t="s">
        <v>0</v>
      </c>
      <c r="U208" s="7" t="s">
        <v>0</v>
      </c>
      <c r="V208" s="7" t="s">
        <v>0</v>
      </c>
      <c r="W208" s="16" t="str">
        <f>HYPERLINK("http://www.aruplab.com/Testing-Information/resources/HotLines/HotLineDocs/Jul2025QHL/3017156.pdf","H")</f>
        <v>H</v>
      </c>
      <c r="X208" s="7" t="s">
        <v>0</v>
      </c>
      <c r="Y208" s="7" t="s">
        <v>0</v>
      </c>
      <c r="Z208" s="7" t="s">
        <v>0</v>
      </c>
      <c r="AA208" s="8">
        <v>45859</v>
      </c>
    </row>
    <row r="209" spans="1:27" ht="90" x14ac:dyDescent="0.25">
      <c r="A209" s="6" t="s">
        <v>633</v>
      </c>
      <c r="B209" s="6" t="s">
        <v>634</v>
      </c>
      <c r="C209" s="6" t="s">
        <v>635</v>
      </c>
      <c r="D209" s="7" t="s">
        <v>0</v>
      </c>
      <c r="E209" s="7" t="s">
        <v>0</v>
      </c>
      <c r="F209" s="7" t="s">
        <v>35</v>
      </c>
      <c r="G209" s="7" t="s">
        <v>0</v>
      </c>
      <c r="H209" s="7" t="s">
        <v>0</v>
      </c>
      <c r="I209" s="7" t="s">
        <v>0</v>
      </c>
      <c r="J209" s="7" t="s">
        <v>0</v>
      </c>
      <c r="K209" s="7" t="s">
        <v>0</v>
      </c>
      <c r="L209" s="7" t="s">
        <v>0</v>
      </c>
      <c r="M209" s="7" t="s">
        <v>0</v>
      </c>
      <c r="N209" s="7" t="s">
        <v>0</v>
      </c>
      <c r="O209" s="7" t="s">
        <v>0</v>
      </c>
      <c r="P209" s="7" t="s">
        <v>0</v>
      </c>
      <c r="Q209" s="7" t="s">
        <v>0</v>
      </c>
      <c r="R209" s="7" t="s">
        <v>0</v>
      </c>
      <c r="S209" s="7" t="s">
        <v>0</v>
      </c>
      <c r="T209" s="7" t="s">
        <v>0</v>
      </c>
      <c r="U209" s="7" t="s">
        <v>0</v>
      </c>
      <c r="V209" s="7" t="s">
        <v>0</v>
      </c>
      <c r="W209" s="16" t="str">
        <f>HYPERLINK("http://www.aruplab.com/Testing-Information/resources/HotLines/HotLineDocs/Jul2025QHL/3017747.pdf","H")</f>
        <v>H</v>
      </c>
      <c r="X209" s="7" t="s">
        <v>0</v>
      </c>
      <c r="Y209" s="7" t="s">
        <v>0</v>
      </c>
      <c r="Z209" s="7" t="s">
        <v>0</v>
      </c>
      <c r="AA209" s="8">
        <v>45859</v>
      </c>
    </row>
    <row r="210" spans="1:27" ht="150" x14ac:dyDescent="0.25">
      <c r="A210" s="6" t="s">
        <v>636</v>
      </c>
      <c r="B210" s="6" t="s">
        <v>637</v>
      </c>
      <c r="C210" s="6" t="s">
        <v>638</v>
      </c>
      <c r="D210" s="7" t="s">
        <v>0</v>
      </c>
      <c r="E210" s="7" t="s">
        <v>0</v>
      </c>
      <c r="F210" s="7" t="s">
        <v>0</v>
      </c>
      <c r="G210" s="7" t="s">
        <v>0</v>
      </c>
      <c r="H210" s="7" t="s">
        <v>0</v>
      </c>
      <c r="I210" s="7" t="s">
        <v>0</v>
      </c>
      <c r="J210" s="7" t="s">
        <v>0</v>
      </c>
      <c r="K210" s="7" t="s">
        <v>0</v>
      </c>
      <c r="L210" s="7" t="s">
        <v>0</v>
      </c>
      <c r="M210" s="7" t="s">
        <v>0</v>
      </c>
      <c r="N210" s="7" t="s">
        <v>0</v>
      </c>
      <c r="O210" s="7" t="s">
        <v>0</v>
      </c>
      <c r="P210" s="7" t="s">
        <v>0</v>
      </c>
      <c r="Q210" s="7" t="s">
        <v>0</v>
      </c>
      <c r="R210" s="7" t="s">
        <v>0</v>
      </c>
      <c r="S210" s="7" t="s">
        <v>0</v>
      </c>
      <c r="T210" s="7" t="s">
        <v>0</v>
      </c>
      <c r="U210" s="7" t="s">
        <v>35</v>
      </c>
      <c r="V210" s="7" t="s">
        <v>0</v>
      </c>
      <c r="W210" s="16" t="str">
        <f>HYPERLINK("http://www.aruplab.com/Testing-Information/resources/HotLines/HotLineDocs/Jul2025QHL/2025.06.06 Jul Quarterly Hotline Inactivations.pdf","H")</f>
        <v>H</v>
      </c>
      <c r="X210" s="7" t="s">
        <v>0</v>
      </c>
      <c r="Y210" s="7" t="s">
        <v>0</v>
      </c>
      <c r="Z210" s="7" t="s">
        <v>0</v>
      </c>
      <c r="AA210" s="8">
        <v>45859</v>
      </c>
    </row>
    <row r="211" spans="1:27" x14ac:dyDescent="0.25">
      <c r="A211" s="6" t="s">
        <v>639</v>
      </c>
      <c r="B211" s="6" t="s">
        <v>640</v>
      </c>
      <c r="C211" s="6" t="s">
        <v>641</v>
      </c>
      <c r="D211" s="7" t="s">
        <v>0</v>
      </c>
      <c r="E211" s="7" t="s">
        <v>0</v>
      </c>
      <c r="F211" s="7" t="s">
        <v>35</v>
      </c>
      <c r="G211" s="7" t="s">
        <v>0</v>
      </c>
      <c r="H211" s="7" t="s">
        <v>0</v>
      </c>
      <c r="I211" s="7" t="s">
        <v>0</v>
      </c>
      <c r="J211" s="7" t="s">
        <v>0</v>
      </c>
      <c r="K211" s="7" t="s">
        <v>0</v>
      </c>
      <c r="L211" s="7" t="s">
        <v>0</v>
      </c>
      <c r="M211" s="7" t="s">
        <v>0</v>
      </c>
      <c r="N211" s="7" t="s">
        <v>0</v>
      </c>
      <c r="O211" s="7" t="s">
        <v>0</v>
      </c>
      <c r="P211" s="7" t="s">
        <v>0</v>
      </c>
      <c r="Q211" s="7" t="s">
        <v>0</v>
      </c>
      <c r="R211" s="7" t="s">
        <v>0</v>
      </c>
      <c r="S211" s="7" t="s">
        <v>0</v>
      </c>
      <c r="T211" s="7" t="s">
        <v>0</v>
      </c>
      <c r="U211" s="7" t="s">
        <v>0</v>
      </c>
      <c r="V211" s="7" t="s">
        <v>0</v>
      </c>
      <c r="W211" s="16" t="str">
        <f>HYPERLINK("http://www.aruplab.com/Testing-Information/resources/HotLines/HotLineDocs/Jul2025QHL/3017902.pdf","H")</f>
        <v>H</v>
      </c>
      <c r="X211" s="7" t="s">
        <v>0</v>
      </c>
      <c r="Y211" s="7" t="s">
        <v>0</v>
      </c>
      <c r="Z211" s="7" t="s">
        <v>0</v>
      </c>
      <c r="AA211" s="8">
        <v>45859</v>
      </c>
    </row>
    <row r="212" spans="1:27" ht="45" x14ac:dyDescent="0.25">
      <c r="A212" s="6" t="s">
        <v>642</v>
      </c>
      <c r="B212" s="6" t="s">
        <v>643</v>
      </c>
      <c r="C212" s="6" t="s">
        <v>644</v>
      </c>
      <c r="D212" s="7" t="s">
        <v>0</v>
      </c>
      <c r="E212" s="7" t="s">
        <v>0</v>
      </c>
      <c r="F212" s="7" t="s">
        <v>35</v>
      </c>
      <c r="G212" s="7" t="s">
        <v>0</v>
      </c>
      <c r="H212" s="7" t="s">
        <v>0</v>
      </c>
      <c r="I212" s="7" t="s">
        <v>0</v>
      </c>
      <c r="J212" s="7" t="s">
        <v>0</v>
      </c>
      <c r="K212" s="7" t="s">
        <v>0</v>
      </c>
      <c r="L212" s="7" t="s">
        <v>0</v>
      </c>
      <c r="M212" s="7" t="s">
        <v>0</v>
      </c>
      <c r="N212" s="7" t="s">
        <v>0</v>
      </c>
      <c r="O212" s="7" t="s">
        <v>0</v>
      </c>
      <c r="P212" s="7" t="s">
        <v>0</v>
      </c>
      <c r="Q212" s="7" t="s">
        <v>0</v>
      </c>
      <c r="R212" s="7" t="s">
        <v>0</v>
      </c>
      <c r="S212" s="7" t="s">
        <v>0</v>
      </c>
      <c r="T212" s="7" t="s">
        <v>0</v>
      </c>
      <c r="U212" s="7" t="s">
        <v>0</v>
      </c>
      <c r="V212" s="7" t="s">
        <v>0</v>
      </c>
      <c r="W212" s="16" t="str">
        <f>HYPERLINK("http://www.aruplab.com/Testing-Information/resources/HotLines/HotLineDocs/Jul2025QHL/3018799.pdf","H")</f>
        <v>H</v>
      </c>
      <c r="X212" s="7" t="s">
        <v>0</v>
      </c>
      <c r="Y212" s="7" t="s">
        <v>0</v>
      </c>
      <c r="Z212" s="7" t="s">
        <v>0</v>
      </c>
      <c r="AA212" s="8">
        <v>45859</v>
      </c>
    </row>
    <row r="213" spans="1:27" ht="30" x14ac:dyDescent="0.25">
      <c r="A213" s="6" t="s">
        <v>645</v>
      </c>
      <c r="B213" s="6" t="s">
        <v>646</v>
      </c>
      <c r="C213" s="6" t="s">
        <v>647</v>
      </c>
      <c r="D213" s="7" t="s">
        <v>0</v>
      </c>
      <c r="E213" s="7" t="s">
        <v>0</v>
      </c>
      <c r="F213" s="7" t="s">
        <v>35</v>
      </c>
      <c r="G213" s="7" t="s">
        <v>0</v>
      </c>
      <c r="H213" s="7" t="s">
        <v>0</v>
      </c>
      <c r="I213" s="7" t="s">
        <v>0</v>
      </c>
      <c r="J213" s="7" t="s">
        <v>0</v>
      </c>
      <c r="K213" s="7" t="s">
        <v>0</v>
      </c>
      <c r="L213" s="7" t="s">
        <v>0</v>
      </c>
      <c r="M213" s="7" t="s">
        <v>0</v>
      </c>
      <c r="N213" s="7" t="s">
        <v>0</v>
      </c>
      <c r="O213" s="7" t="s">
        <v>0</v>
      </c>
      <c r="P213" s="7" t="s">
        <v>0</v>
      </c>
      <c r="Q213" s="7" t="s">
        <v>0</v>
      </c>
      <c r="R213" s="7" t="s">
        <v>0</v>
      </c>
      <c r="S213" s="7" t="s">
        <v>0</v>
      </c>
      <c r="T213" s="7" t="s">
        <v>0</v>
      </c>
      <c r="U213" s="7" t="s">
        <v>0</v>
      </c>
      <c r="V213" s="7" t="s">
        <v>0</v>
      </c>
      <c r="W213" s="16" t="str">
        <f>HYPERLINK("http://www.aruplab.com/Testing-Information/resources/HotLines/HotLineDocs/Jul2025QHL/3018866.pdf","H")</f>
        <v>H</v>
      </c>
      <c r="X213" s="7" t="s">
        <v>0</v>
      </c>
      <c r="Y213" s="7" t="s">
        <v>0</v>
      </c>
      <c r="Z213" s="7" t="s">
        <v>0</v>
      </c>
      <c r="AA213" s="8">
        <v>45859</v>
      </c>
    </row>
    <row r="214" spans="1:27" ht="30" x14ac:dyDescent="0.25">
      <c r="A214" s="6" t="s">
        <v>648</v>
      </c>
      <c r="B214" s="6" t="s">
        <v>649</v>
      </c>
      <c r="C214" s="6" t="s">
        <v>650</v>
      </c>
      <c r="D214" s="7" t="s">
        <v>0</v>
      </c>
      <c r="E214" s="7" t="s">
        <v>0</v>
      </c>
      <c r="F214" s="7" t="s">
        <v>35</v>
      </c>
      <c r="G214" s="7" t="s">
        <v>0</v>
      </c>
      <c r="H214" s="7" t="s">
        <v>0</v>
      </c>
      <c r="I214" s="7" t="s">
        <v>0</v>
      </c>
      <c r="J214" s="7" t="s">
        <v>0</v>
      </c>
      <c r="K214" s="7" t="s">
        <v>0</v>
      </c>
      <c r="L214" s="7" t="s">
        <v>0</v>
      </c>
      <c r="M214" s="7" t="s">
        <v>0</v>
      </c>
      <c r="N214" s="7" t="s">
        <v>0</v>
      </c>
      <c r="O214" s="7" t="s">
        <v>0</v>
      </c>
      <c r="P214" s="7" t="s">
        <v>0</v>
      </c>
      <c r="Q214" s="7" t="s">
        <v>0</v>
      </c>
      <c r="R214" s="7" t="s">
        <v>0</v>
      </c>
      <c r="S214" s="7" t="s">
        <v>0</v>
      </c>
      <c r="T214" s="7" t="s">
        <v>0</v>
      </c>
      <c r="U214" s="7" t="s">
        <v>0</v>
      </c>
      <c r="V214" s="7" t="s">
        <v>0</v>
      </c>
      <c r="W214" s="16" t="str">
        <f>HYPERLINK("http://www.aruplab.com/Testing-Information/resources/HotLines/HotLineDocs/Jul2025QHL/3018867.pdf","H")</f>
        <v>H</v>
      </c>
      <c r="X214" s="7" t="s">
        <v>0</v>
      </c>
      <c r="Y214" s="7" t="s">
        <v>0</v>
      </c>
      <c r="Z214" s="7" t="s">
        <v>0</v>
      </c>
      <c r="AA214" s="8">
        <v>45859</v>
      </c>
    </row>
    <row r="215" spans="1:27" x14ac:dyDescent="0.25">
      <c r="A215" s="6" t="s">
        <v>651</v>
      </c>
      <c r="B215" s="6" t="s">
        <v>652</v>
      </c>
      <c r="C215" s="6" t="s">
        <v>653</v>
      </c>
      <c r="D215" s="7" t="s">
        <v>0</v>
      </c>
      <c r="E215" s="7" t="s">
        <v>0</v>
      </c>
      <c r="F215" s="7" t="s">
        <v>35</v>
      </c>
      <c r="G215" s="7" t="s">
        <v>0</v>
      </c>
      <c r="H215" s="7" t="s">
        <v>0</v>
      </c>
      <c r="I215" s="7" t="s">
        <v>0</v>
      </c>
      <c r="J215" s="7" t="s">
        <v>0</v>
      </c>
      <c r="K215" s="7" t="s">
        <v>0</v>
      </c>
      <c r="L215" s="7" t="s">
        <v>0</v>
      </c>
      <c r="M215" s="7" t="s">
        <v>0</v>
      </c>
      <c r="N215" s="7" t="s">
        <v>0</v>
      </c>
      <c r="O215" s="7" t="s">
        <v>0</v>
      </c>
      <c r="P215" s="7" t="s">
        <v>0</v>
      </c>
      <c r="Q215" s="7" t="s">
        <v>0</v>
      </c>
      <c r="R215" s="7" t="s">
        <v>0</v>
      </c>
      <c r="S215" s="7" t="s">
        <v>0</v>
      </c>
      <c r="T215" s="7" t="s">
        <v>0</v>
      </c>
      <c r="U215" s="7" t="s">
        <v>0</v>
      </c>
      <c r="V215" s="7" t="s">
        <v>0</v>
      </c>
      <c r="W215" s="16" t="str">
        <f>HYPERLINK("http://www.aruplab.com/Testing-Information/resources/HotLines/HotLineDocs/Jul2025QHL/3018868.pdf","H")</f>
        <v>H</v>
      </c>
      <c r="X215" s="7" t="s">
        <v>0</v>
      </c>
      <c r="Y215" s="7" t="s">
        <v>0</v>
      </c>
      <c r="Z215" s="7" t="s">
        <v>0</v>
      </c>
      <c r="AA215" s="8">
        <v>45859</v>
      </c>
    </row>
    <row r="216" spans="1:27" ht="45" x14ac:dyDescent="0.25">
      <c r="A216" s="6" t="s">
        <v>654</v>
      </c>
      <c r="B216" s="6" t="s">
        <v>655</v>
      </c>
      <c r="C216" s="6" t="s">
        <v>656</v>
      </c>
      <c r="D216" s="7" t="s">
        <v>0</v>
      </c>
      <c r="E216" s="7" t="s">
        <v>0</v>
      </c>
      <c r="F216" s="7" t="s">
        <v>35</v>
      </c>
      <c r="G216" s="7" t="s">
        <v>0</v>
      </c>
      <c r="H216" s="7" t="s">
        <v>0</v>
      </c>
      <c r="I216" s="7" t="s">
        <v>0</v>
      </c>
      <c r="J216" s="7" t="s">
        <v>0</v>
      </c>
      <c r="K216" s="7" t="s">
        <v>0</v>
      </c>
      <c r="L216" s="7" t="s">
        <v>0</v>
      </c>
      <c r="M216" s="7" t="s">
        <v>0</v>
      </c>
      <c r="N216" s="7" t="s">
        <v>0</v>
      </c>
      <c r="O216" s="7" t="s">
        <v>0</v>
      </c>
      <c r="P216" s="7" t="s">
        <v>0</v>
      </c>
      <c r="Q216" s="7" t="s">
        <v>0</v>
      </c>
      <c r="R216" s="7" t="s">
        <v>0</v>
      </c>
      <c r="S216" s="7" t="s">
        <v>0</v>
      </c>
      <c r="T216" s="7" t="s">
        <v>0</v>
      </c>
      <c r="U216" s="7" t="s">
        <v>0</v>
      </c>
      <c r="V216" s="7" t="s">
        <v>0</v>
      </c>
      <c r="W216" s="16" t="str">
        <f>HYPERLINK("http://www.aruplab.com/Testing-Information/resources/HotLines/HotLineDocs/Jul2025QHL/3018869.pdf","H")</f>
        <v>H</v>
      </c>
      <c r="X216" s="7" t="s">
        <v>0</v>
      </c>
      <c r="Y216" s="7" t="s">
        <v>0</v>
      </c>
      <c r="Z216" s="7" t="s">
        <v>0</v>
      </c>
      <c r="AA216" s="8">
        <v>45859</v>
      </c>
    </row>
    <row r="217" spans="1:27" ht="30" x14ac:dyDescent="0.25">
      <c r="A217" s="6" t="s">
        <v>657</v>
      </c>
      <c r="B217" s="6" t="s">
        <v>658</v>
      </c>
      <c r="C217" s="6" t="s">
        <v>659</v>
      </c>
      <c r="D217" s="7" t="s">
        <v>0</v>
      </c>
      <c r="E217" s="7" t="s">
        <v>0</v>
      </c>
      <c r="F217" s="7" t="s">
        <v>35</v>
      </c>
      <c r="G217" s="7" t="s">
        <v>0</v>
      </c>
      <c r="H217" s="7" t="s">
        <v>0</v>
      </c>
      <c r="I217" s="7" t="s">
        <v>0</v>
      </c>
      <c r="J217" s="7" t="s">
        <v>0</v>
      </c>
      <c r="K217" s="7" t="s">
        <v>0</v>
      </c>
      <c r="L217" s="7" t="s">
        <v>0</v>
      </c>
      <c r="M217" s="7" t="s">
        <v>0</v>
      </c>
      <c r="N217" s="7" t="s">
        <v>0</v>
      </c>
      <c r="O217" s="7" t="s">
        <v>0</v>
      </c>
      <c r="P217" s="7" t="s">
        <v>0</v>
      </c>
      <c r="Q217" s="7" t="s">
        <v>0</v>
      </c>
      <c r="R217" s="7" t="s">
        <v>0</v>
      </c>
      <c r="S217" s="7" t="s">
        <v>0</v>
      </c>
      <c r="T217" s="7" t="s">
        <v>0</v>
      </c>
      <c r="U217" s="7" t="s">
        <v>0</v>
      </c>
      <c r="V217" s="7" t="s">
        <v>0</v>
      </c>
      <c r="W217" s="16" t="str">
        <f>HYPERLINK("http://www.aruplab.com/Testing-Information/resources/HotLines/HotLineDocs/Jul2025QHL/3018870.pdf","H")</f>
        <v>H</v>
      </c>
      <c r="X217" s="7" t="s">
        <v>0</v>
      </c>
      <c r="Y217" s="7" t="s">
        <v>0</v>
      </c>
      <c r="Z217" s="7" t="s">
        <v>0</v>
      </c>
      <c r="AA217" s="8">
        <v>45859</v>
      </c>
    </row>
    <row r="218" spans="1:27" ht="30" x14ac:dyDescent="0.25">
      <c r="A218" s="6" t="s">
        <v>660</v>
      </c>
      <c r="B218" s="6" t="s">
        <v>661</v>
      </c>
      <c r="C218" s="6" t="s">
        <v>662</v>
      </c>
      <c r="D218" s="7" t="s">
        <v>35</v>
      </c>
      <c r="E218" s="7" t="s">
        <v>0</v>
      </c>
      <c r="F218" s="7" t="s">
        <v>0</v>
      </c>
      <c r="G218" s="7" t="s">
        <v>0</v>
      </c>
      <c r="H218" s="7" t="s">
        <v>0</v>
      </c>
      <c r="I218" s="7" t="s">
        <v>0</v>
      </c>
      <c r="J218" s="7" t="s">
        <v>0</v>
      </c>
      <c r="K218" s="7" t="s">
        <v>0</v>
      </c>
      <c r="L218" s="7" t="s">
        <v>0</v>
      </c>
      <c r="M218" s="7" t="s">
        <v>0</v>
      </c>
      <c r="N218" s="7" t="s">
        <v>0</v>
      </c>
      <c r="O218" s="7" t="s">
        <v>0</v>
      </c>
      <c r="P218" s="7" t="s">
        <v>0</v>
      </c>
      <c r="Q218" s="7" t="s">
        <v>0</v>
      </c>
      <c r="R218" s="7" t="s">
        <v>0</v>
      </c>
      <c r="S218" s="7" t="s">
        <v>0</v>
      </c>
      <c r="T218" s="7" t="s">
        <v>0</v>
      </c>
      <c r="U218" s="7" t="s">
        <v>0</v>
      </c>
      <c r="V218" s="7" t="s">
        <v>0</v>
      </c>
      <c r="W218" s="16" t="str">
        <f>HYPERLINK("http://www.aruplab.com/Testing-Information/resources/HotLines/HotLineDocs/Jul2025QHL/3018968.pdf","H")</f>
        <v>H</v>
      </c>
      <c r="X218" s="16" t="str">
        <f>HYPERLINK("http://www.aruplab.com/Testing-Information/resources/HotLines/TDMix/Jul2025QHL/3018968.xlsx","T")</f>
        <v>T</v>
      </c>
      <c r="Y218" s="16" t="str">
        <f>HYPERLINK("http://www.aruplab.com/Testing-Information/resources/HotLines/Sample_Reports/Jul2025QHL/3018968_ThinPrep Pap Test Standalone_TP REQUEST.pdf","E")</f>
        <v>E</v>
      </c>
      <c r="Z218" s="16" t="str">
        <f>HYPERLINK("https://connect.aruplab.com/Pricing/TestPrice/3018968/D07212025","P")</f>
        <v>P</v>
      </c>
      <c r="AA218" s="8">
        <v>45859</v>
      </c>
    </row>
    <row r="219" spans="1:27" ht="45" x14ac:dyDescent="0.25">
      <c r="A219" s="6" t="s">
        <v>663</v>
      </c>
      <c r="B219" s="6" t="s">
        <v>664</v>
      </c>
      <c r="C219" s="6" t="s">
        <v>665</v>
      </c>
      <c r="D219" s="7" t="s">
        <v>35</v>
      </c>
      <c r="E219" s="7" t="s">
        <v>0</v>
      </c>
      <c r="F219" s="7" t="s">
        <v>0</v>
      </c>
      <c r="G219" s="7" t="s">
        <v>0</v>
      </c>
      <c r="H219" s="7" t="s">
        <v>0</v>
      </c>
      <c r="I219" s="7" t="s">
        <v>0</v>
      </c>
      <c r="J219" s="7" t="s">
        <v>0</v>
      </c>
      <c r="K219" s="7" t="s">
        <v>0</v>
      </c>
      <c r="L219" s="7" t="s">
        <v>0</v>
      </c>
      <c r="M219" s="7" t="s">
        <v>0</v>
      </c>
      <c r="N219" s="7" t="s">
        <v>0</v>
      </c>
      <c r="O219" s="7" t="s">
        <v>0</v>
      </c>
      <c r="P219" s="7" t="s">
        <v>0</v>
      </c>
      <c r="Q219" s="7" t="s">
        <v>0</v>
      </c>
      <c r="R219" s="7" t="s">
        <v>0</v>
      </c>
      <c r="S219" s="7" t="s">
        <v>0</v>
      </c>
      <c r="T219" s="7" t="s">
        <v>0</v>
      </c>
      <c r="U219" s="7" t="s">
        <v>0</v>
      </c>
      <c r="V219" s="7" t="s">
        <v>0</v>
      </c>
      <c r="W219" s="16" t="str">
        <f>HYPERLINK("http://www.aruplab.com/Testing-Information/resources/HotLines/HotLineDocs/Jul2025QHL/3018971.pdf","H")</f>
        <v>H</v>
      </c>
      <c r="X219" s="16" t="str">
        <f>HYPERLINK("http://www.aruplab.com/Testing-Information/resources/HotLines/TDMix/Jul2025QHL/3018971.xlsx","T")</f>
        <v>T</v>
      </c>
      <c r="Y219" s="16" t="str">
        <f>HYPERLINK("http://www.aruplab.com/Testing-Information/resources/HotLines/Sample_Reports/Jul2025QHL/3018971_Thin Prep Pap Test With Reflex To HPV if ASCUS_TA REQUEST.pdf","E")</f>
        <v>E</v>
      </c>
      <c r="Z219" s="16" t="str">
        <f>HYPERLINK("https://connect.aruplab.com/Pricing/TestPrice/3018971/D07212025","P")</f>
        <v>P</v>
      </c>
      <c r="AA219" s="8">
        <v>45859</v>
      </c>
    </row>
    <row r="220" spans="1:27" ht="30" x14ac:dyDescent="0.25">
      <c r="A220" s="6" t="s">
        <v>666</v>
      </c>
      <c r="B220" s="6" t="s">
        <v>667</v>
      </c>
      <c r="C220" s="6" t="s">
        <v>668</v>
      </c>
      <c r="D220" s="7" t="s">
        <v>35</v>
      </c>
      <c r="E220" s="7" t="s">
        <v>0</v>
      </c>
      <c r="F220" s="7" t="s">
        <v>0</v>
      </c>
      <c r="G220" s="7" t="s">
        <v>0</v>
      </c>
      <c r="H220" s="7" t="s">
        <v>0</v>
      </c>
      <c r="I220" s="7" t="s">
        <v>0</v>
      </c>
      <c r="J220" s="7" t="s">
        <v>0</v>
      </c>
      <c r="K220" s="7" t="s">
        <v>0</v>
      </c>
      <c r="L220" s="7" t="s">
        <v>0</v>
      </c>
      <c r="M220" s="7" t="s">
        <v>0</v>
      </c>
      <c r="N220" s="7" t="s">
        <v>0</v>
      </c>
      <c r="O220" s="7" t="s">
        <v>0</v>
      </c>
      <c r="P220" s="7" t="s">
        <v>0</v>
      </c>
      <c r="Q220" s="7" t="s">
        <v>0</v>
      </c>
      <c r="R220" s="7" t="s">
        <v>0</v>
      </c>
      <c r="S220" s="7" t="s">
        <v>0</v>
      </c>
      <c r="T220" s="7" t="s">
        <v>0</v>
      </c>
      <c r="U220" s="7" t="s">
        <v>0</v>
      </c>
      <c r="V220" s="7" t="s">
        <v>0</v>
      </c>
      <c r="W220" s="16" t="str">
        <f>HYPERLINK("http://www.aruplab.com/Testing-Information/resources/HotLines/HotLineDocs/Jul2025QHL/3018973.pdf","H")</f>
        <v>H</v>
      </c>
      <c r="X220" s="16" t="str">
        <f>HYPERLINK("http://www.aruplab.com/Testing-Information/resources/HotLines/TDMix/Jul2025QHL/3018973.xlsx","T")</f>
        <v>T</v>
      </c>
      <c r="Y220" s="16" t="str">
        <f>HYPERLINK("http://www.aruplab.com/Testing-Information/resources/HotLines/Sample_Reports/Jul2025QHL/3018973_ThinPrep PAP test with Co-test HPV_TM REQUEST.pdf","E")</f>
        <v>E</v>
      </c>
      <c r="Z220" s="16" t="str">
        <f>HYPERLINK("https://connect.aruplab.com/Pricing/TestPrice/3018973/D07212025","P")</f>
        <v>P</v>
      </c>
      <c r="AA220" s="8">
        <v>45859</v>
      </c>
    </row>
    <row r="221" spans="1:27" ht="30" x14ac:dyDescent="0.25">
      <c r="A221" s="6" t="s">
        <v>669</v>
      </c>
      <c r="B221" s="6" t="s">
        <v>670</v>
      </c>
      <c r="C221" s="6" t="s">
        <v>671</v>
      </c>
      <c r="D221" s="7" t="s">
        <v>35</v>
      </c>
      <c r="E221" s="7" t="s">
        <v>0</v>
      </c>
      <c r="F221" s="7" t="s">
        <v>0</v>
      </c>
      <c r="G221" s="7" t="s">
        <v>0</v>
      </c>
      <c r="H221" s="7" t="s">
        <v>0</v>
      </c>
      <c r="I221" s="7" t="s">
        <v>0</v>
      </c>
      <c r="J221" s="7" t="s">
        <v>0</v>
      </c>
      <c r="K221" s="7" t="s">
        <v>0</v>
      </c>
      <c r="L221" s="7" t="s">
        <v>0</v>
      </c>
      <c r="M221" s="7" t="s">
        <v>0</v>
      </c>
      <c r="N221" s="7" t="s">
        <v>0</v>
      </c>
      <c r="O221" s="7" t="s">
        <v>0</v>
      </c>
      <c r="P221" s="7" t="s">
        <v>0</v>
      </c>
      <c r="Q221" s="7" t="s">
        <v>0</v>
      </c>
      <c r="R221" s="7" t="s">
        <v>0</v>
      </c>
      <c r="S221" s="7" t="s">
        <v>0</v>
      </c>
      <c r="T221" s="7" t="s">
        <v>0</v>
      </c>
      <c r="U221" s="7" t="s">
        <v>0</v>
      </c>
      <c r="V221" s="7" t="s">
        <v>0</v>
      </c>
      <c r="W221" s="16" t="str">
        <f>HYPERLINK("http://www.aruplab.com/Testing-Information/resources/HotLines/HotLineDocs/Jul2025QHL/3019007.pdf","H")</f>
        <v>H</v>
      </c>
      <c r="X221" s="16" t="str">
        <f>HYPERLINK("http://www.aruplab.com/Testing-Information/resources/HotLines/TDMix/Jul2025QHL/3019007.xlsx","T")</f>
        <v>T</v>
      </c>
      <c r="Y221" s="16" t="str">
        <f>HYPERLINK("http://www.aruplab.com/Testing-Information/resources/HotLines/Sample_Reports/Jul2025QHL/3019007_Hemochromatosis (HFE) 3 Variants_HFEPCR.pdf","E")</f>
        <v>E</v>
      </c>
      <c r="Z221" s="16" t="str">
        <f>HYPERLINK("https://connect.aruplab.com/Pricing/TestPrice/3019007/D07212025","P")</f>
        <v>P</v>
      </c>
      <c r="AA221" s="8">
        <v>45859</v>
      </c>
    </row>
    <row r="222" spans="1:27" ht="30" x14ac:dyDescent="0.25">
      <c r="A222" s="6" t="s">
        <v>672</v>
      </c>
      <c r="B222" s="6" t="s">
        <v>673</v>
      </c>
      <c r="C222" s="6" t="s">
        <v>674</v>
      </c>
      <c r="D222" s="7" t="s">
        <v>35</v>
      </c>
      <c r="E222" s="7" t="s">
        <v>0</v>
      </c>
      <c r="F222" s="7" t="s">
        <v>0</v>
      </c>
      <c r="G222" s="7" t="s">
        <v>0</v>
      </c>
      <c r="H222" s="7" t="s">
        <v>0</v>
      </c>
      <c r="I222" s="7" t="s">
        <v>0</v>
      </c>
      <c r="J222" s="7" t="s">
        <v>0</v>
      </c>
      <c r="K222" s="7" t="s">
        <v>0</v>
      </c>
      <c r="L222" s="7" t="s">
        <v>0</v>
      </c>
      <c r="M222" s="7" t="s">
        <v>0</v>
      </c>
      <c r="N222" s="7" t="s">
        <v>0</v>
      </c>
      <c r="O222" s="7" t="s">
        <v>0</v>
      </c>
      <c r="P222" s="7" t="s">
        <v>0</v>
      </c>
      <c r="Q222" s="7" t="s">
        <v>0</v>
      </c>
      <c r="R222" s="7" t="s">
        <v>0</v>
      </c>
      <c r="S222" s="7" t="s">
        <v>0</v>
      </c>
      <c r="T222" s="7" t="s">
        <v>0</v>
      </c>
      <c r="U222" s="7" t="s">
        <v>0</v>
      </c>
      <c r="V222" s="7" t="s">
        <v>0</v>
      </c>
      <c r="W222" s="16" t="str">
        <f>HYPERLINK("http://www.aruplab.com/Testing-Information/resources/HotLines/HotLineDocs/Jul2025QHL/3019269.pdf","H")</f>
        <v>H</v>
      </c>
      <c r="X222" s="16" t="str">
        <f>HYPERLINK("http://www.aruplab.com/Testing-Information/resources/HotLines/TDMix/Jul2025QHL/3019269.xlsx","T")</f>
        <v>T</v>
      </c>
      <c r="Y222" s="16" t="str">
        <f>HYPERLINK("http://www.aruplab.com/Testing-Information/resources/HotLines/Sample_Reports/Jul2025QHL/3019269_Measles by Qualitative NAAT_MEASLESPCR.pdf","E")</f>
        <v>E</v>
      </c>
      <c r="Z222" s="16" t="str">
        <f>HYPERLINK("https://connect.aruplab.com/Pricing/TestPrice/3019269/D07212025","P")</f>
        <v>P</v>
      </c>
      <c r="AA222" s="8">
        <v>45761</v>
      </c>
    </row>
    <row r="223" spans="1:27" ht="45" x14ac:dyDescent="0.25">
      <c r="A223" s="6" t="s">
        <v>675</v>
      </c>
      <c r="B223" s="6" t="s">
        <v>676</v>
      </c>
      <c r="C223" s="6" t="s">
        <v>677</v>
      </c>
      <c r="D223" s="7" t="s">
        <v>35</v>
      </c>
      <c r="E223" s="7" t="s">
        <v>0</v>
      </c>
      <c r="F223" s="7" t="s">
        <v>0</v>
      </c>
      <c r="G223" s="7" t="s">
        <v>0</v>
      </c>
      <c r="H223" s="7" t="s">
        <v>0</v>
      </c>
      <c r="I223" s="7" t="s">
        <v>0</v>
      </c>
      <c r="J223" s="7" t="s">
        <v>0</v>
      </c>
      <c r="K223" s="7" t="s">
        <v>0</v>
      </c>
      <c r="L223" s="7" t="s">
        <v>0</v>
      </c>
      <c r="M223" s="7" t="s">
        <v>0</v>
      </c>
      <c r="N223" s="7" t="s">
        <v>0</v>
      </c>
      <c r="O223" s="7" t="s">
        <v>0</v>
      </c>
      <c r="P223" s="7" t="s">
        <v>0</v>
      </c>
      <c r="Q223" s="7" t="s">
        <v>0</v>
      </c>
      <c r="R223" s="7" t="s">
        <v>0</v>
      </c>
      <c r="S223" s="7" t="s">
        <v>0</v>
      </c>
      <c r="T223" s="7" t="s">
        <v>0</v>
      </c>
      <c r="U223" s="7" t="s">
        <v>0</v>
      </c>
      <c r="V223" s="7" t="s">
        <v>0</v>
      </c>
      <c r="W223" s="16" t="str">
        <f>HYPERLINK("http://www.aruplab.com/Testing-Information/resources/HotLines/HotLineDocs/Jul2025QHL/3019336.pdf","H")</f>
        <v>H</v>
      </c>
      <c r="X223" s="16" t="str">
        <f>HYPERLINK("http://www.aruplab.com/Testing-Information/resources/HotLines/TDMix/Jul2025QHL/3019336.xlsx","T")</f>
        <v>T</v>
      </c>
      <c r="Y223" s="16" t="str">
        <f>HYPERLINK("http://www.aruplab.com/Testing-Information/resources/HotLines/Sample_Reports/Jul2025QHL/3019336_Medium Chain Acyl-CoA Dehydrogenase 2 Variants_MCAD_PCR.pdf","E")</f>
        <v>E</v>
      </c>
      <c r="Z223" s="16" t="str">
        <f>HYPERLINK("https://connect.aruplab.com/Pricing/TestPrice/3019336/D07212025","P")</f>
        <v>P</v>
      </c>
      <c r="AA223" s="8">
        <v>45859</v>
      </c>
    </row>
    <row r="224" spans="1:27" ht="30" x14ac:dyDescent="0.25">
      <c r="A224" s="6" t="s">
        <v>678</v>
      </c>
      <c r="B224" s="6" t="s">
        <v>679</v>
      </c>
      <c r="C224" s="6" t="s">
        <v>680</v>
      </c>
      <c r="D224" s="7" t="s">
        <v>35</v>
      </c>
      <c r="E224" s="7" t="s">
        <v>0</v>
      </c>
      <c r="F224" s="7" t="s">
        <v>0</v>
      </c>
      <c r="G224" s="7" t="s">
        <v>0</v>
      </c>
      <c r="H224" s="7" t="s">
        <v>0</v>
      </c>
      <c r="I224" s="7" t="s">
        <v>0</v>
      </c>
      <c r="J224" s="7" t="s">
        <v>0</v>
      </c>
      <c r="K224" s="7" t="s">
        <v>0</v>
      </c>
      <c r="L224" s="7" t="s">
        <v>0</v>
      </c>
      <c r="M224" s="7" t="s">
        <v>0</v>
      </c>
      <c r="N224" s="7" t="s">
        <v>0</v>
      </c>
      <c r="O224" s="7" t="s">
        <v>0</v>
      </c>
      <c r="P224" s="7" t="s">
        <v>0</v>
      </c>
      <c r="Q224" s="7" t="s">
        <v>0</v>
      </c>
      <c r="R224" s="7" t="s">
        <v>0</v>
      </c>
      <c r="S224" s="7" t="s">
        <v>0</v>
      </c>
      <c r="T224" s="7" t="s">
        <v>0</v>
      </c>
      <c r="U224" s="7" t="s">
        <v>0</v>
      </c>
      <c r="V224" s="7" t="s">
        <v>0</v>
      </c>
      <c r="W224" s="16" t="str">
        <f>HYPERLINK("http://www.aruplab.com/Testing-Information/resources/HotLines/HotLineDocs/Jul2025QHL/3019342.pdf","H")</f>
        <v>H</v>
      </c>
      <c r="X224" s="16" t="str">
        <f>HYPERLINK("http://www.aruplab.com/Testing-Information/resources/HotLines/TDMix/Jul2025QHL/3019342.xlsx","T")</f>
        <v>T</v>
      </c>
      <c r="Y224" s="16" t="str">
        <f>HYPERLINK("http://www.aruplab.com/Testing-Information/resources/HotLines/Sample_Reports/Jul2025QHL/3019342_RhD Gene Copy number_RHD PCR.pdf","E")</f>
        <v>E</v>
      </c>
      <c r="Z224" s="16" t="str">
        <f>HYPERLINK("https://connect.aruplab.com/Pricing/TestPrice/3019342/D07212025","P")</f>
        <v>P</v>
      </c>
      <c r="AA224" s="8">
        <v>45859</v>
      </c>
    </row>
    <row r="225" spans="1:27" ht="45" x14ac:dyDescent="0.25">
      <c r="A225" s="6" t="s">
        <v>681</v>
      </c>
      <c r="B225" s="6" t="s">
        <v>682</v>
      </c>
      <c r="C225" s="6" t="s">
        <v>683</v>
      </c>
      <c r="D225" s="7" t="s">
        <v>35</v>
      </c>
      <c r="E225" s="7" t="s">
        <v>0</v>
      </c>
      <c r="F225" s="7" t="s">
        <v>0</v>
      </c>
      <c r="G225" s="7" t="s">
        <v>0</v>
      </c>
      <c r="H225" s="7" t="s">
        <v>0</v>
      </c>
      <c r="I225" s="7" t="s">
        <v>0</v>
      </c>
      <c r="J225" s="7" t="s">
        <v>0</v>
      </c>
      <c r="K225" s="7" t="s">
        <v>0</v>
      </c>
      <c r="L225" s="7" t="s">
        <v>0</v>
      </c>
      <c r="M225" s="7" t="s">
        <v>0</v>
      </c>
      <c r="N225" s="7" t="s">
        <v>0</v>
      </c>
      <c r="O225" s="7" t="s">
        <v>0</v>
      </c>
      <c r="P225" s="7" t="s">
        <v>0</v>
      </c>
      <c r="Q225" s="7" t="s">
        <v>0</v>
      </c>
      <c r="R225" s="7" t="s">
        <v>0</v>
      </c>
      <c r="S225" s="7" t="s">
        <v>0</v>
      </c>
      <c r="T225" s="7" t="s">
        <v>0</v>
      </c>
      <c r="U225" s="7" t="s">
        <v>0</v>
      </c>
      <c r="V225" s="7" t="s">
        <v>0</v>
      </c>
      <c r="W225" s="16" t="str">
        <f>HYPERLINK("http://www.aruplab.com/Testing-Information/resources/HotLines/HotLineDocs/Jul2025QHL/3019353.pdf","H")</f>
        <v>H</v>
      </c>
      <c r="X225" s="16" t="str">
        <f>HYPERLINK("http://www.aruplab.com/Testing-Information/resources/HotLines/TDMix/Jul2025QHL/3019353.xlsx","T")</f>
        <v>T</v>
      </c>
      <c r="Y225" s="7" t="s">
        <v>0</v>
      </c>
      <c r="Z225" s="16" t="str">
        <f>HYPERLINK("https://connect.aruplab.com/Pricing/TestPrice/3019353/D07212025","P")</f>
        <v>P</v>
      </c>
      <c r="AA225" s="8">
        <v>45776</v>
      </c>
    </row>
    <row r="226" spans="1:27" ht="45" x14ac:dyDescent="0.25">
      <c r="A226" s="6" t="s">
        <v>684</v>
      </c>
      <c r="B226" s="6" t="s">
        <v>685</v>
      </c>
      <c r="C226" s="6" t="s">
        <v>686</v>
      </c>
      <c r="D226" s="7" t="s">
        <v>35</v>
      </c>
      <c r="E226" s="7" t="s">
        <v>0</v>
      </c>
      <c r="F226" s="7" t="s">
        <v>0</v>
      </c>
      <c r="G226" s="7" t="s">
        <v>0</v>
      </c>
      <c r="H226" s="7" t="s">
        <v>0</v>
      </c>
      <c r="I226" s="7" t="s">
        <v>0</v>
      </c>
      <c r="J226" s="7" t="s">
        <v>0</v>
      </c>
      <c r="K226" s="7" t="s">
        <v>0</v>
      </c>
      <c r="L226" s="7" t="s">
        <v>0</v>
      </c>
      <c r="M226" s="7" t="s">
        <v>0</v>
      </c>
      <c r="N226" s="7" t="s">
        <v>0</v>
      </c>
      <c r="O226" s="7" t="s">
        <v>0</v>
      </c>
      <c r="P226" s="7" t="s">
        <v>0</v>
      </c>
      <c r="Q226" s="7" t="s">
        <v>0</v>
      </c>
      <c r="R226" s="7" t="s">
        <v>0</v>
      </c>
      <c r="S226" s="7" t="s">
        <v>0</v>
      </c>
      <c r="T226" s="7" t="s">
        <v>0</v>
      </c>
      <c r="U226" s="7" t="s">
        <v>0</v>
      </c>
      <c r="V226" s="7" t="s">
        <v>0</v>
      </c>
      <c r="W226" s="16" t="str">
        <f>HYPERLINK("http://www.aruplab.com/Testing-Information/resources/HotLines/HotLineDocs/Jul2025QHL/3019466.pdf","H")</f>
        <v>H</v>
      </c>
      <c r="X226" s="16" t="str">
        <f>HYPERLINK("http://www.aruplab.com/Testing-Information/resources/HotLines/TDMix/Jul2025QHL/3019466.xlsx","T")</f>
        <v>T</v>
      </c>
      <c r="Y226" s="16" t="str">
        <f>HYPERLINK("http://www.aruplab.com/Testing-Information/resources/HotLines/Sample_Reports/Jul2025QHL/3019466_Ankylosing Spondylitis Genotyping_HLA-B27PCR.pdf","E")</f>
        <v>E</v>
      </c>
      <c r="Z226" s="16" t="str">
        <f>HYPERLINK("https://connect.aruplab.com/Pricing/TestPrice/3019466/D07212025","P")</f>
        <v>P</v>
      </c>
      <c r="AA226" s="8">
        <v>45859</v>
      </c>
    </row>
    <row r="227" spans="1:27" ht="30" x14ac:dyDescent="0.25">
      <c r="A227" s="6" t="s">
        <v>687</v>
      </c>
      <c r="B227" s="6" t="s">
        <v>688</v>
      </c>
      <c r="C227" s="6" t="s">
        <v>689</v>
      </c>
      <c r="D227" s="7" t="s">
        <v>35</v>
      </c>
      <c r="E227" s="7" t="s">
        <v>0</v>
      </c>
      <c r="F227" s="7" t="s">
        <v>0</v>
      </c>
      <c r="G227" s="7" t="s">
        <v>0</v>
      </c>
      <c r="H227" s="7" t="s">
        <v>0</v>
      </c>
      <c r="I227" s="7" t="s">
        <v>0</v>
      </c>
      <c r="J227" s="7" t="s">
        <v>0</v>
      </c>
      <c r="K227" s="7" t="s">
        <v>0</v>
      </c>
      <c r="L227" s="7" t="s">
        <v>0</v>
      </c>
      <c r="M227" s="7" t="s">
        <v>0</v>
      </c>
      <c r="N227" s="7" t="s">
        <v>0</v>
      </c>
      <c r="O227" s="7" t="s">
        <v>0</v>
      </c>
      <c r="P227" s="7" t="s">
        <v>0</v>
      </c>
      <c r="Q227" s="7" t="s">
        <v>0</v>
      </c>
      <c r="R227" s="7" t="s">
        <v>0</v>
      </c>
      <c r="S227" s="7" t="s">
        <v>0</v>
      </c>
      <c r="T227" s="7" t="s">
        <v>0</v>
      </c>
      <c r="U227" s="7" t="s">
        <v>0</v>
      </c>
      <c r="V227" s="7" t="s">
        <v>0</v>
      </c>
      <c r="W227" s="16" t="str">
        <f>HYPERLINK("http://www.aruplab.com/Testing-Information/resources/HotLines/HotLineDocs/Jul2025QHL/3019471.pdf","H")</f>
        <v>H</v>
      </c>
      <c r="X227" s="16" t="str">
        <f>HYPERLINK("http://www.aruplab.com/Testing-Information/resources/HotLines/TDMix/Jul2025QHL/3019471.xlsx","T")</f>
        <v>T</v>
      </c>
      <c r="Y227" s="7" t="s">
        <v>0</v>
      </c>
      <c r="Z227" s="16" t="str">
        <f>HYPERLINK("https://connect.aruplab.com/Pricing/TestPrice/3019471/D07212025","P")</f>
        <v>P</v>
      </c>
      <c r="AA227" s="8">
        <v>45859</v>
      </c>
    </row>
    <row r="228" spans="1:27" ht="45" x14ac:dyDescent="0.25">
      <c r="A228" s="6" t="s">
        <v>690</v>
      </c>
      <c r="B228" s="6" t="s">
        <v>691</v>
      </c>
      <c r="C228" s="6" t="s">
        <v>692</v>
      </c>
      <c r="D228" s="7" t="s">
        <v>35</v>
      </c>
      <c r="E228" s="7" t="s">
        <v>0</v>
      </c>
      <c r="F228" s="7" t="s">
        <v>0</v>
      </c>
      <c r="G228" s="7" t="s">
        <v>0</v>
      </c>
      <c r="H228" s="7" t="s">
        <v>0</v>
      </c>
      <c r="I228" s="7" t="s">
        <v>0</v>
      </c>
      <c r="J228" s="7" t="s">
        <v>0</v>
      </c>
      <c r="K228" s="7" t="s">
        <v>0</v>
      </c>
      <c r="L228" s="7" t="s">
        <v>0</v>
      </c>
      <c r="M228" s="7" t="s">
        <v>0</v>
      </c>
      <c r="N228" s="7" t="s">
        <v>0</v>
      </c>
      <c r="O228" s="7" t="s">
        <v>0</v>
      </c>
      <c r="P228" s="7" t="s">
        <v>0</v>
      </c>
      <c r="Q228" s="7" t="s">
        <v>0</v>
      </c>
      <c r="R228" s="7" t="s">
        <v>0</v>
      </c>
      <c r="S228" s="7" t="s">
        <v>0</v>
      </c>
      <c r="T228" s="7" t="s">
        <v>0</v>
      </c>
      <c r="U228" s="7" t="s">
        <v>0</v>
      </c>
      <c r="V228" s="7" t="s">
        <v>0</v>
      </c>
      <c r="W228" s="16" t="str">
        <f>HYPERLINK("http://www.aruplab.com/Testing-Information/resources/HotLines/HotLineDocs/Jul2025QHL/3019538.pdf","H")</f>
        <v>H</v>
      </c>
      <c r="X228" s="16" t="str">
        <f>HYPERLINK("http://www.aruplab.com/Testing-Information/resources/HotLines/TDMix/Jul2025QHL/3019538.xlsx","T")</f>
        <v>T</v>
      </c>
      <c r="Y228" s="7" t="s">
        <v>0</v>
      </c>
      <c r="Z228" s="16" t="str">
        <f>HYPERLINK("https://connect.aruplab.com/Pricing/TestPrice/3019538/D07212025","P")</f>
        <v>P</v>
      </c>
      <c r="AA228" s="8">
        <v>45776</v>
      </c>
    </row>
    <row r="229" spans="1:27" ht="75" x14ac:dyDescent="0.25">
      <c r="A229" s="6" t="s">
        <v>693</v>
      </c>
      <c r="B229" s="6" t="s">
        <v>694</v>
      </c>
      <c r="C229" s="6" t="s">
        <v>695</v>
      </c>
      <c r="D229" s="7" t="s">
        <v>35</v>
      </c>
      <c r="E229" s="7" t="s">
        <v>0</v>
      </c>
      <c r="F229" s="7" t="s">
        <v>0</v>
      </c>
      <c r="G229" s="7" t="s">
        <v>0</v>
      </c>
      <c r="H229" s="7" t="s">
        <v>0</v>
      </c>
      <c r="I229" s="7" t="s">
        <v>0</v>
      </c>
      <c r="J229" s="7" t="s">
        <v>0</v>
      </c>
      <c r="K229" s="7" t="s">
        <v>0</v>
      </c>
      <c r="L229" s="7" t="s">
        <v>0</v>
      </c>
      <c r="M229" s="7" t="s">
        <v>0</v>
      </c>
      <c r="N229" s="7" t="s">
        <v>0</v>
      </c>
      <c r="O229" s="7" t="s">
        <v>0</v>
      </c>
      <c r="P229" s="7" t="s">
        <v>0</v>
      </c>
      <c r="Q229" s="7" t="s">
        <v>0</v>
      </c>
      <c r="R229" s="7" t="s">
        <v>0</v>
      </c>
      <c r="S229" s="7" t="s">
        <v>0</v>
      </c>
      <c r="T229" s="7" t="s">
        <v>0</v>
      </c>
      <c r="U229" s="7" t="s">
        <v>0</v>
      </c>
      <c r="V229" s="7" t="s">
        <v>0</v>
      </c>
      <c r="W229" s="16" t="str">
        <f>HYPERLINK("http://www.aruplab.com/Testing-Information/resources/HotLines/HotLineDocs/Jul2025QHL/3019566.pdf","H")</f>
        <v>H</v>
      </c>
      <c r="X229" s="16" t="str">
        <f>HYPERLINK("http://www.aruplab.com/Testing-Information/resources/HotLines/TDMix/Jul2025QHL/3019566.xlsx","T")</f>
        <v>T</v>
      </c>
      <c r="Y229" s="16" t="str">
        <f>HYPERLINK("http://www.aruplab.com/Testing-Information/resources/HotLines/Sample_Reports/Jul2025QHL/3019566_Alpha Globin HBA1 and HBA2 Sequencing and Deletion Duplication Fetal_HBA FGA FE.pdf","E")</f>
        <v>E</v>
      </c>
      <c r="Z229" s="16" t="str">
        <f>HYPERLINK("https://connect.aruplab.com/Pricing/TestPrice/3019566/D07212025","P")</f>
        <v>P</v>
      </c>
      <c r="AA229" s="8">
        <v>45761</v>
      </c>
    </row>
    <row r="230" spans="1:27" x14ac:dyDescent="0.25">
      <c r="A230" s="6" t="s">
        <v>696</v>
      </c>
      <c r="B230" s="6" t="s">
        <v>697</v>
      </c>
      <c r="C230" s="6" t="s">
        <v>698</v>
      </c>
      <c r="D230" s="7" t="s">
        <v>35</v>
      </c>
      <c r="E230" s="7" t="s">
        <v>0</v>
      </c>
      <c r="F230" s="7" t="s">
        <v>0</v>
      </c>
      <c r="G230" s="7" t="s">
        <v>0</v>
      </c>
      <c r="H230" s="7" t="s">
        <v>0</v>
      </c>
      <c r="I230" s="7" t="s">
        <v>0</v>
      </c>
      <c r="J230" s="7" t="s">
        <v>0</v>
      </c>
      <c r="K230" s="7" t="s">
        <v>0</v>
      </c>
      <c r="L230" s="7" t="s">
        <v>0</v>
      </c>
      <c r="M230" s="7" t="s">
        <v>0</v>
      </c>
      <c r="N230" s="7" t="s">
        <v>0</v>
      </c>
      <c r="O230" s="7" t="s">
        <v>0</v>
      </c>
      <c r="P230" s="7" t="s">
        <v>0</v>
      </c>
      <c r="Q230" s="7" t="s">
        <v>0</v>
      </c>
      <c r="R230" s="7" t="s">
        <v>0</v>
      </c>
      <c r="S230" s="7" t="s">
        <v>0</v>
      </c>
      <c r="T230" s="7" t="s">
        <v>0</v>
      </c>
      <c r="U230" s="7" t="s">
        <v>0</v>
      </c>
      <c r="V230" s="7" t="s">
        <v>0</v>
      </c>
      <c r="W230" s="16" t="str">
        <f>HYPERLINK("http://www.aruplab.com/Testing-Information/resources/HotLines/HotLineDocs/Jul2025QHL/3019581.pdf","H")</f>
        <v>H</v>
      </c>
      <c r="X230" s="16" t="str">
        <f>HYPERLINK("http://www.aruplab.com/Testing-Information/resources/HotLines/TDMix/Jul2025QHL/3019581.xlsx","T")</f>
        <v>T</v>
      </c>
      <c r="Y230" s="16" t="str">
        <f>HYPERLINK("http://www.aruplab.com/Testing-Information/resources/HotLines/Sample_Reports/Jul2025QHL/3019581_Bicarbonate_Urine_BICARBON.pdf","E")</f>
        <v>E</v>
      </c>
      <c r="Z230" s="16" t="str">
        <f>HYPERLINK("https://connect.aruplab.com/Pricing/TestPrice/3019581/D07212025","P")</f>
        <v>P</v>
      </c>
      <c r="AA230" s="8">
        <v>45859</v>
      </c>
    </row>
    <row r="231" spans="1:27" ht="30" x14ac:dyDescent="0.25">
      <c r="A231" s="6" t="s">
        <v>699</v>
      </c>
      <c r="B231" s="6" t="s">
        <v>700</v>
      </c>
      <c r="C231" s="6" t="s">
        <v>701</v>
      </c>
      <c r="D231" s="7" t="s">
        <v>35</v>
      </c>
      <c r="E231" s="7" t="s">
        <v>0</v>
      </c>
      <c r="F231" s="7" t="s">
        <v>0</v>
      </c>
      <c r="G231" s="7" t="s">
        <v>0</v>
      </c>
      <c r="H231" s="7" t="s">
        <v>0</v>
      </c>
      <c r="I231" s="7" t="s">
        <v>0</v>
      </c>
      <c r="J231" s="7" t="s">
        <v>0</v>
      </c>
      <c r="K231" s="7" t="s">
        <v>0</v>
      </c>
      <c r="L231" s="7" t="s">
        <v>0</v>
      </c>
      <c r="M231" s="7" t="s">
        <v>0</v>
      </c>
      <c r="N231" s="7" t="s">
        <v>0</v>
      </c>
      <c r="O231" s="7" t="s">
        <v>0</v>
      </c>
      <c r="P231" s="7" t="s">
        <v>0</v>
      </c>
      <c r="Q231" s="7" t="s">
        <v>0</v>
      </c>
      <c r="R231" s="7" t="s">
        <v>0</v>
      </c>
      <c r="S231" s="7" t="s">
        <v>0</v>
      </c>
      <c r="T231" s="7" t="s">
        <v>0</v>
      </c>
      <c r="U231" s="7" t="s">
        <v>0</v>
      </c>
      <c r="V231" s="7" t="s">
        <v>0</v>
      </c>
      <c r="W231" s="16" t="str">
        <f>HYPERLINK("http://www.aruplab.com/Testing-Information/resources/HotLines/HotLineDocs/Jul2025QHL/3019583.pdf","H")</f>
        <v>H</v>
      </c>
      <c r="X231" s="16" t="str">
        <f>HYPERLINK("http://www.aruplab.com/Testing-Information/resources/HotLines/TDMix/Jul2025QHL/3019583.xlsx","T")</f>
        <v>T</v>
      </c>
      <c r="Y231" s="16" t="str">
        <f>HYPERLINK("http://www.aruplab.com/Testing-Information/resources/HotLines/Sample_Reports/Jul2025QHL/3019583_Bicarbonate_Body_Fluid_BICARB BF.pdf","E")</f>
        <v>E</v>
      </c>
      <c r="Z231" s="16" t="str">
        <f>HYPERLINK("https://connect.aruplab.com/Pricing/TestPrice/3019583/D07212025","P")</f>
        <v>P</v>
      </c>
      <c r="AA231" s="8">
        <v>45859</v>
      </c>
    </row>
    <row r="232" spans="1:27" ht="60" x14ac:dyDescent="0.25">
      <c r="A232" s="6" t="s">
        <v>702</v>
      </c>
      <c r="B232" s="6" t="s">
        <v>703</v>
      </c>
      <c r="C232" s="6" t="s">
        <v>704</v>
      </c>
      <c r="D232" s="7" t="s">
        <v>35</v>
      </c>
      <c r="E232" s="7" t="s">
        <v>0</v>
      </c>
      <c r="F232" s="7" t="s">
        <v>0</v>
      </c>
      <c r="G232" s="7" t="s">
        <v>0</v>
      </c>
      <c r="H232" s="7" t="s">
        <v>0</v>
      </c>
      <c r="I232" s="7" t="s">
        <v>0</v>
      </c>
      <c r="J232" s="7" t="s">
        <v>0</v>
      </c>
      <c r="K232" s="7" t="s">
        <v>0</v>
      </c>
      <c r="L232" s="7" t="s">
        <v>0</v>
      </c>
      <c r="M232" s="7" t="s">
        <v>0</v>
      </c>
      <c r="N232" s="7" t="s">
        <v>0</v>
      </c>
      <c r="O232" s="7" t="s">
        <v>0</v>
      </c>
      <c r="P232" s="7" t="s">
        <v>0</v>
      </c>
      <c r="Q232" s="7" t="s">
        <v>0</v>
      </c>
      <c r="R232" s="7" t="s">
        <v>0</v>
      </c>
      <c r="S232" s="7" t="s">
        <v>0</v>
      </c>
      <c r="T232" s="7" t="s">
        <v>0</v>
      </c>
      <c r="U232" s="7" t="s">
        <v>0</v>
      </c>
      <c r="V232" s="7" t="s">
        <v>0</v>
      </c>
      <c r="W232" s="16" t="str">
        <f>HYPERLINK("http://www.aruplab.com/Testing-Information/resources/HotLines/HotLineDocs/Jul2025QHL/3019585.pdf","H")</f>
        <v>H</v>
      </c>
      <c r="X232" s="16" t="str">
        <f>HYPERLINK("http://www.aruplab.com/Testing-Information/resources/HotLines/TDMix/Jul2025QHL/3019585.xlsx","T")</f>
        <v>T</v>
      </c>
      <c r="Y232" s="7" t="s">
        <v>0</v>
      </c>
      <c r="Z232" s="16" t="str">
        <f>HYPERLINK("https://connect.aruplab.com/Pricing/TestPrice/3019585/D07212025","P")</f>
        <v>P</v>
      </c>
      <c r="AA232" s="8">
        <v>45810</v>
      </c>
    </row>
    <row r="233" spans="1:27" ht="30" x14ac:dyDescent="0.25">
      <c r="A233" s="6" t="s">
        <v>705</v>
      </c>
      <c r="B233" s="6" t="s">
        <v>706</v>
      </c>
      <c r="C233" s="6" t="s">
        <v>707</v>
      </c>
      <c r="D233" s="7" t="s">
        <v>35</v>
      </c>
      <c r="E233" s="7" t="s">
        <v>0</v>
      </c>
      <c r="F233" s="7" t="s">
        <v>0</v>
      </c>
      <c r="G233" s="7" t="s">
        <v>0</v>
      </c>
      <c r="H233" s="7" t="s">
        <v>0</v>
      </c>
      <c r="I233" s="7" t="s">
        <v>0</v>
      </c>
      <c r="J233" s="7" t="s">
        <v>0</v>
      </c>
      <c r="K233" s="7" t="s">
        <v>0</v>
      </c>
      <c r="L233" s="7" t="s">
        <v>0</v>
      </c>
      <c r="M233" s="7" t="s">
        <v>0</v>
      </c>
      <c r="N233" s="7" t="s">
        <v>0</v>
      </c>
      <c r="O233" s="7" t="s">
        <v>0</v>
      </c>
      <c r="P233" s="7" t="s">
        <v>0</v>
      </c>
      <c r="Q233" s="7" t="s">
        <v>0</v>
      </c>
      <c r="R233" s="7" t="s">
        <v>0</v>
      </c>
      <c r="S233" s="7" t="s">
        <v>0</v>
      </c>
      <c r="T233" s="7" t="s">
        <v>0</v>
      </c>
      <c r="U233" s="7" t="s">
        <v>0</v>
      </c>
      <c r="V233" s="7" t="s">
        <v>0</v>
      </c>
      <c r="W233" s="16" t="str">
        <f>HYPERLINK("http://www.aruplab.com/Testing-Information/resources/HotLines/HotLineDocs/Jul2025QHL/3019648.pdf","H")</f>
        <v>H</v>
      </c>
      <c r="X233" s="16" t="str">
        <f>HYPERLINK("http://www.aruplab.com/Testing-Information/resources/HotLines/TDMix/Jul2025QHL/3019648.xlsx","T")</f>
        <v>T</v>
      </c>
      <c r="Y233" s="16" t="str">
        <f>HYPERLINK("http://www.aruplab.com/Testing-Information/resources/HotLines/Sample_Reports/Jul2025QHL/3019648_Methotrexate, Serum or Plasma_METHOTREX.pdf","E")</f>
        <v>E</v>
      </c>
      <c r="Z233" s="16" t="str">
        <f>HYPERLINK("https://connect.aruplab.com/Pricing/TestPrice/3019648/D07212025","P")</f>
        <v>P</v>
      </c>
      <c r="AA233" s="8">
        <v>45859</v>
      </c>
    </row>
    <row r="234" spans="1:27" x14ac:dyDescent="0.25">
      <c r="A234" s="6" t="s">
        <v>708</v>
      </c>
      <c r="B234" s="6" t="s">
        <v>709</v>
      </c>
      <c r="C234" s="6" t="s">
        <v>710</v>
      </c>
      <c r="D234" s="7" t="s">
        <v>35</v>
      </c>
      <c r="E234" s="7" t="s">
        <v>0</v>
      </c>
      <c r="F234" s="7" t="s">
        <v>0</v>
      </c>
      <c r="G234" s="7" t="s">
        <v>0</v>
      </c>
      <c r="H234" s="7" t="s">
        <v>0</v>
      </c>
      <c r="I234" s="7" t="s">
        <v>0</v>
      </c>
      <c r="J234" s="7" t="s">
        <v>0</v>
      </c>
      <c r="K234" s="7" t="s">
        <v>0</v>
      </c>
      <c r="L234" s="7" t="s">
        <v>0</v>
      </c>
      <c r="M234" s="7" t="s">
        <v>0</v>
      </c>
      <c r="N234" s="7" t="s">
        <v>0</v>
      </c>
      <c r="O234" s="7" t="s">
        <v>0</v>
      </c>
      <c r="P234" s="7" t="s">
        <v>0</v>
      </c>
      <c r="Q234" s="7" t="s">
        <v>0</v>
      </c>
      <c r="R234" s="7" t="s">
        <v>0</v>
      </c>
      <c r="S234" s="7" t="s">
        <v>0</v>
      </c>
      <c r="T234" s="7" t="s">
        <v>0</v>
      </c>
      <c r="U234" s="7" t="s">
        <v>0</v>
      </c>
      <c r="V234" s="7" t="s">
        <v>0</v>
      </c>
      <c r="W234" s="16" t="str">
        <f>HYPERLINK("http://www.aruplab.com/Testing-Information/resources/HotLines/HotLineDocs/Jul2025QHL/3019650.pdf","H")</f>
        <v>H</v>
      </c>
      <c r="X234" s="16" t="str">
        <f>HYPERLINK("http://www.aruplab.com/Testing-Information/resources/HotLines/TDMix/Jul2025QHL/3019650.xlsx","T")</f>
        <v>T</v>
      </c>
      <c r="Y234" s="16" t="str">
        <f>HYPERLINK("http://www.aruplab.com/Testing-Information/resources/HotLines/Sample_Reports/Jul2025QHL/3019650_Lactate, Plasma_LACTATE P.pdf","E")</f>
        <v>E</v>
      </c>
      <c r="Z234" s="16" t="str">
        <f>HYPERLINK("https://connect.aruplab.com/Pricing/TestPrice/3019650/D07212025","P")</f>
        <v>P</v>
      </c>
      <c r="AA234" s="8">
        <v>45859</v>
      </c>
    </row>
    <row r="235" spans="1:27" ht="45" x14ac:dyDescent="0.25">
      <c r="A235" s="6" t="s">
        <v>711</v>
      </c>
      <c r="B235" s="6" t="s">
        <v>712</v>
      </c>
      <c r="C235" s="6" t="s">
        <v>713</v>
      </c>
      <c r="D235" s="7" t="s">
        <v>35</v>
      </c>
      <c r="E235" s="7" t="s">
        <v>0</v>
      </c>
      <c r="F235" s="7" t="s">
        <v>0</v>
      </c>
      <c r="G235" s="7" t="s">
        <v>0</v>
      </c>
      <c r="H235" s="7" t="s">
        <v>0</v>
      </c>
      <c r="I235" s="7" t="s">
        <v>0</v>
      </c>
      <c r="J235" s="7" t="s">
        <v>0</v>
      </c>
      <c r="K235" s="7" t="s">
        <v>0</v>
      </c>
      <c r="L235" s="7" t="s">
        <v>0</v>
      </c>
      <c r="M235" s="7" t="s">
        <v>0</v>
      </c>
      <c r="N235" s="7" t="s">
        <v>0</v>
      </c>
      <c r="O235" s="7" t="s">
        <v>0</v>
      </c>
      <c r="P235" s="7" t="s">
        <v>0</v>
      </c>
      <c r="Q235" s="7" t="s">
        <v>0</v>
      </c>
      <c r="R235" s="7" t="s">
        <v>0</v>
      </c>
      <c r="S235" s="7" t="s">
        <v>0</v>
      </c>
      <c r="T235" s="7" t="s">
        <v>0</v>
      </c>
      <c r="U235" s="7" t="s">
        <v>0</v>
      </c>
      <c r="V235" s="7" t="s">
        <v>0</v>
      </c>
      <c r="W235" s="16" t="str">
        <f>HYPERLINK("http://www.aruplab.com/Testing-Information/resources/HotLines/HotLineDocs/Jul2025QHL/3019652.pdf","H")</f>
        <v>H</v>
      </c>
      <c r="X235" s="16" t="str">
        <f>HYPERLINK("http://www.aruplab.com/Testing-Information/resources/HotLines/TDMix/Jul2025QHL/3019652.xlsx","T")</f>
        <v>T</v>
      </c>
      <c r="Y235" s="7" t="s">
        <v>0</v>
      </c>
      <c r="Z235" s="16" t="str">
        <f>HYPERLINK("https://connect.aruplab.com/Pricing/TestPrice/3019652/D07212025","P")</f>
        <v>P</v>
      </c>
      <c r="AA235" s="8">
        <v>45776</v>
      </c>
    </row>
    <row r="236" spans="1:27" x14ac:dyDescent="0.25">
      <c r="A236" s="6" t="s">
        <v>714</v>
      </c>
      <c r="B236" s="6" t="s">
        <v>715</v>
      </c>
      <c r="C236" s="6" t="s">
        <v>716</v>
      </c>
      <c r="D236" s="7" t="s">
        <v>35</v>
      </c>
      <c r="E236" s="7" t="s">
        <v>0</v>
      </c>
      <c r="F236" s="7" t="s">
        <v>0</v>
      </c>
      <c r="G236" s="7" t="s">
        <v>0</v>
      </c>
      <c r="H236" s="7" t="s">
        <v>0</v>
      </c>
      <c r="I236" s="7" t="s">
        <v>0</v>
      </c>
      <c r="J236" s="7" t="s">
        <v>0</v>
      </c>
      <c r="K236" s="7" t="s">
        <v>0</v>
      </c>
      <c r="L236" s="7" t="s">
        <v>0</v>
      </c>
      <c r="M236" s="7" t="s">
        <v>0</v>
      </c>
      <c r="N236" s="7" t="s">
        <v>0</v>
      </c>
      <c r="O236" s="7" t="s">
        <v>0</v>
      </c>
      <c r="P236" s="7" t="s">
        <v>0</v>
      </c>
      <c r="Q236" s="7" t="s">
        <v>0</v>
      </c>
      <c r="R236" s="7" t="s">
        <v>0</v>
      </c>
      <c r="S236" s="7" t="s">
        <v>0</v>
      </c>
      <c r="T236" s="7" t="s">
        <v>0</v>
      </c>
      <c r="U236" s="7" t="s">
        <v>0</v>
      </c>
      <c r="V236" s="7" t="s">
        <v>0</v>
      </c>
      <c r="W236" s="16" t="str">
        <f>HYPERLINK("http://www.aruplab.com/Testing-Information/resources/HotLines/HotLineDocs/Jul2025QHL/3019672.pdf","H")</f>
        <v>H</v>
      </c>
      <c r="X236" s="16" t="str">
        <f>HYPERLINK("http://www.aruplab.com/Testing-Information/resources/HotLines/TDMix/Jul2025QHL/3019672.xlsx","T")</f>
        <v>T</v>
      </c>
      <c r="Y236" s="16" t="str">
        <f>HYPERLINK("http://www.aruplab.com/Testing-Information/resources/HotLines/Sample_Reports/Jul2025QHL/3019672_Lactate, CSF_LACT CSF.pdf","E")</f>
        <v>E</v>
      </c>
      <c r="Z236" s="16" t="str">
        <f>HYPERLINK("https://connect.aruplab.com/Pricing/TestPrice/3019672/D07212025","P")</f>
        <v>P</v>
      </c>
      <c r="AA236" s="8">
        <v>45859</v>
      </c>
    </row>
    <row r="237" spans="1:27" ht="90" x14ac:dyDescent="0.25">
      <c r="A237" s="6" t="s">
        <v>717</v>
      </c>
      <c r="B237" s="6" t="s">
        <v>718</v>
      </c>
      <c r="C237" s="6" t="s">
        <v>719</v>
      </c>
      <c r="D237" s="7" t="s">
        <v>35</v>
      </c>
      <c r="E237" s="7" t="s">
        <v>0</v>
      </c>
      <c r="F237" s="7" t="s">
        <v>0</v>
      </c>
      <c r="G237" s="7" t="s">
        <v>0</v>
      </c>
      <c r="H237" s="7" t="s">
        <v>0</v>
      </c>
      <c r="I237" s="7" t="s">
        <v>0</v>
      </c>
      <c r="J237" s="7" t="s">
        <v>0</v>
      </c>
      <c r="K237" s="7" t="s">
        <v>0</v>
      </c>
      <c r="L237" s="7" t="s">
        <v>0</v>
      </c>
      <c r="M237" s="7" t="s">
        <v>0</v>
      </c>
      <c r="N237" s="7" t="s">
        <v>0</v>
      </c>
      <c r="O237" s="7" t="s">
        <v>0</v>
      </c>
      <c r="P237" s="7" t="s">
        <v>0</v>
      </c>
      <c r="Q237" s="7" t="s">
        <v>0</v>
      </c>
      <c r="R237" s="7" t="s">
        <v>0</v>
      </c>
      <c r="S237" s="7" t="s">
        <v>0</v>
      </c>
      <c r="T237" s="7" t="s">
        <v>0</v>
      </c>
      <c r="U237" s="7" t="s">
        <v>0</v>
      </c>
      <c r="V237" s="7" t="s">
        <v>0</v>
      </c>
      <c r="W237" s="16" t="str">
        <f>HYPERLINK("http://www.aruplab.com/Testing-Information/resources/HotLines/HotLineDocs/Jul2025QHL/3019841.pdf","H")</f>
        <v>H</v>
      </c>
      <c r="X237" s="16" t="str">
        <f>HYPERLINK("http://www.aruplab.com/Testing-Information/resources/HotLines/TDMix/Jul2025QHL/3019841.xlsx","T")</f>
        <v>T</v>
      </c>
      <c r="Y237" s="16" t="str">
        <f>HYPERLINK("http://www.aruplab.com/Testing-Information/resources/HotLines/Sample_Reports/Jul2025QHL/3019841_UPD Glucuronosyltransferase 1A1 and Dihydropyrimidine Dehydrogenase Genotyping_UGT1A1DPYD.pdf","E")</f>
        <v>E</v>
      </c>
      <c r="Z237" s="16" t="str">
        <f>HYPERLINK("https://connect.aruplab.com/Pricing/TestPrice/3019841/D07212025","P")</f>
        <v>P</v>
      </c>
      <c r="AA237" s="8">
        <v>45859</v>
      </c>
    </row>
    <row r="238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2025-05-28T17:16:53Z</dcterms:created>
  <dcterms:modified xsi:type="dcterms:W3CDTF">2025-06-03T19:21:32Z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2025-05-28T17:16:36Z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56ea3ea0-5ccd-482d-9a7e-46dda7cbfeb4</vt:lpwstr>
  </property>
  <property fmtid="{D5CDD505-2E9C-101B-9397-08002B2CF9AE}" pid="8" name="MSIP_Label_7528a15d-fe30-4bc2-853f-da171899c8c3_ContentBits">
    <vt:lpwstr>2</vt:lpwstr>
  </property>
  <property fmtid="{D5CDD505-2E9C-101B-9397-08002B2CF9AE}" pid="9" name="MSIP_Label_7528a15d-fe30-4bc2-853f-da171899c8c3_Tag">
    <vt:lpwstr>10, 3, 0, 1</vt:lpwstr>
  </property>
</Properties>
</file>